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9140" windowHeight="16280" activeTab="0"/>
  </bookViews>
  <sheets>
    <sheet name="SCADENTAR LEASING" sheetId="1" r:id="rId1"/>
  </sheets>
  <definedNames>
    <definedName name="_xlnm.Print_Area" localSheetId="0">'SCADENTAR LEASING'!$A$1:$N$91</definedName>
  </definedNames>
  <calcPr fullCalcOnLoad="1"/>
</workbook>
</file>

<file path=xl/sharedStrings.xml><?xml version="1.0" encoding="utf-8"?>
<sst xmlns="http://schemas.openxmlformats.org/spreadsheetml/2006/main" count="36" uniqueCount="36">
  <si>
    <t>%</t>
  </si>
  <si>
    <t>Avans:</t>
  </si>
  <si>
    <t>Val. Finantata:</t>
  </si>
  <si>
    <t>Val. Rezid.</t>
  </si>
  <si>
    <t>Perioada (luni):</t>
  </si>
  <si>
    <t>Dobanda (p.a.):</t>
  </si>
  <si>
    <t>Tx. management:</t>
  </si>
  <si>
    <t>Rate/an</t>
  </si>
  <si>
    <t>Nr. Rata</t>
  </si>
  <si>
    <t>Balace b/f</t>
  </si>
  <si>
    <t>Dobanda</t>
  </si>
  <si>
    <t>Capital</t>
  </si>
  <si>
    <t>VR</t>
  </si>
  <si>
    <t>Balance</t>
  </si>
  <si>
    <t xml:space="preserve">CASCO </t>
  </si>
  <si>
    <t>TVA</t>
  </si>
  <si>
    <t>Valoare reziduala:</t>
  </si>
  <si>
    <t>Total valoare neta contract</t>
  </si>
  <si>
    <t>RESPONSABIL VANZARI</t>
  </si>
  <si>
    <t>Frecventa plata :</t>
  </si>
  <si>
    <t>fact/an</t>
  </si>
  <si>
    <t>Pret CIP (fara TVA) :</t>
  </si>
  <si>
    <t>Total factura Casco Omniasig in EURO</t>
  </si>
  <si>
    <t>eur</t>
  </si>
  <si>
    <t>Avans(cuTM inclusa!)</t>
  </si>
  <si>
    <t xml:space="preserve">Total factura fara Casco </t>
  </si>
  <si>
    <t>Comision gestiune contract</t>
  </si>
  <si>
    <t xml:space="preserve">Rate leasing </t>
  </si>
  <si>
    <t xml:space="preserve">Mobil:      fix     fax </t>
  </si>
  <si>
    <t xml:space="preserve">Mail:   </t>
  </si>
  <si>
    <t>Comision gest. Lunar</t>
  </si>
  <si>
    <t xml:space="preserve">Model: </t>
  </si>
  <si>
    <t>Cheltuieli logistice 200 Euro fara TVA respectiv 238 Euro cu TVA - se achita la inceput / inclus in avans</t>
  </si>
  <si>
    <t>FIXA</t>
  </si>
  <si>
    <t>Inmatriculare</t>
  </si>
  <si>
    <t>200 EUR</t>
  </si>
</sst>
</file>

<file path=xl/styles.xml><?xml version="1.0" encoding="utf-8"?>
<styleSheet xmlns="http://schemas.openxmlformats.org/spreadsheetml/2006/main">
  <numFmts count="32">
    <numFmt numFmtId="5" formatCode="#,##0\ &quot;RON&quot;_);\(#,##0\ &quot;RON&quot;\)"/>
    <numFmt numFmtId="6" formatCode="#,##0\ &quot;RON&quot;_);[Red]\(#,##0\ &quot;RON&quot;\)"/>
    <numFmt numFmtId="7" formatCode="#,##0.00\ &quot;RON&quot;_);\(#,##0.00\ &quot;RON&quot;\)"/>
    <numFmt numFmtId="8" formatCode="#,##0.00\ &quot;RON&quot;_);[Red]\(#,##0.00\ &quot;RON&quot;\)"/>
    <numFmt numFmtId="42" formatCode="_ * #,##0_)\ &quot;RON&quot;_ ;_ * \(#,##0\)\ &quot;RON&quot;_ ;_ * &quot;-&quot;_)\ &quot;RON&quot;_ ;_ @_ "/>
    <numFmt numFmtId="41" formatCode="_ * #,##0_)\ _R_O_N_ ;_ * \(#,##0\)\ _R_O_N_ ;_ * &quot;-&quot;_)\ _R_O_N_ ;_ @_ "/>
    <numFmt numFmtId="44" formatCode="_ * #,##0.00_)\ &quot;RON&quot;_ ;_ * \(#,##0.00\)\ &quot;RON&quot;_ ;_ * &quot;-&quot;??_)\ &quot;RON&quot;_ ;_ @_ "/>
    <numFmt numFmtId="43" formatCode="_ * #,##0.00_)\ _R_O_N_ ;_ * \(#,##0.00\)\ _R_O_N_ ;_ * &quot;-&quot;??_)\ _R_O_N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.0"/>
    <numFmt numFmtId="187" formatCode="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color indexed="9"/>
      <name val="Arial"/>
      <family val="2"/>
    </font>
    <font>
      <sz val="8"/>
      <color indexed="23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1" fillId="31" borderId="7" applyNumberFormat="0" applyFont="0" applyAlignment="0" applyProtection="0"/>
    <xf numFmtId="0" fontId="56" fillId="26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/>
      <protection hidden="1"/>
    </xf>
    <xf numFmtId="10" fontId="5" fillId="0" borderId="0" xfId="0" applyNumberFormat="1" applyFont="1" applyFill="1" applyBorder="1" applyAlignment="1" applyProtection="1">
      <alignment/>
      <protection hidden="1"/>
    </xf>
    <xf numFmtId="10" fontId="2" fillId="0" borderId="0" xfId="0" applyNumberFormat="1" applyFont="1" applyFill="1" applyBorder="1" applyAlignment="1">
      <alignment horizontal="right"/>
    </xf>
    <xf numFmtId="0" fontId="2" fillId="32" borderId="0" xfId="0" applyFont="1" applyFill="1" applyBorder="1" applyAlignment="1" applyProtection="1">
      <alignment vertical="center"/>
      <protection locked="0"/>
    </xf>
    <xf numFmtId="179" fontId="7" fillId="32" borderId="0" xfId="42" applyFont="1" applyFill="1" applyBorder="1" applyAlignment="1" applyProtection="1">
      <alignment horizontal="center" vertical="center"/>
      <protection locked="0"/>
    </xf>
    <xf numFmtId="179" fontId="7" fillId="0" borderId="0" xfId="42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4" fontId="10" fillId="0" borderId="0" xfId="0" applyNumberFormat="1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/>
    </xf>
    <xf numFmtId="179" fontId="3" fillId="32" borderId="0" xfId="42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/>
      <protection hidden="1"/>
    </xf>
    <xf numFmtId="0" fontId="18" fillId="0" borderId="10" xfId="0" applyFont="1" applyBorder="1" applyAlignment="1">
      <alignment/>
    </xf>
    <xf numFmtId="179" fontId="18" fillId="0" borderId="10" xfId="0" applyNumberFormat="1" applyFont="1" applyBorder="1" applyAlignment="1">
      <alignment/>
    </xf>
    <xf numFmtId="2" fontId="18" fillId="33" borderId="10" xfId="0" applyNumberFormat="1" applyFont="1" applyFill="1" applyBorder="1" applyAlignment="1">
      <alignment/>
    </xf>
    <xf numFmtId="2" fontId="18" fillId="0" borderId="10" xfId="0" applyNumberFormat="1" applyFont="1" applyBorder="1" applyAlignment="1">
      <alignment horizontal="center"/>
    </xf>
    <xf numFmtId="0" fontId="19" fillId="32" borderId="11" xfId="0" applyNumberFormat="1" applyFont="1" applyFill="1" applyBorder="1" applyAlignment="1" applyProtection="1">
      <alignment horizontal="center" vertical="center"/>
      <protection hidden="1"/>
    </xf>
    <xf numFmtId="0" fontId="19" fillId="32" borderId="12" xfId="0" applyNumberFormat="1" applyFont="1" applyFill="1" applyBorder="1" applyAlignment="1" applyProtection="1">
      <alignment horizontal="center" vertical="center"/>
      <protection hidden="1"/>
    </xf>
    <xf numFmtId="0" fontId="19" fillId="32" borderId="12" xfId="0" applyNumberFormat="1" applyFont="1" applyFill="1" applyBorder="1" applyAlignment="1" applyProtection="1">
      <alignment horizontal="center" vertical="center" wrapText="1"/>
      <protection hidden="1"/>
    </xf>
    <xf numFmtId="2" fontId="18" fillId="32" borderId="13" xfId="0" applyNumberFormat="1" applyFont="1" applyFill="1" applyBorder="1" applyAlignment="1">
      <alignment/>
    </xf>
    <xf numFmtId="0" fontId="20" fillId="32" borderId="14" xfId="0" applyFont="1" applyFill="1" applyBorder="1" applyAlignment="1" applyProtection="1">
      <alignment/>
      <protection hidden="1"/>
    </xf>
    <xf numFmtId="0" fontId="20" fillId="32" borderId="0" xfId="0" applyFont="1" applyFill="1" applyBorder="1" applyAlignment="1" applyProtection="1">
      <alignment/>
      <protection hidden="1"/>
    </xf>
    <xf numFmtId="10" fontId="21" fillId="32" borderId="0" xfId="0" applyNumberFormat="1" applyFont="1" applyFill="1" applyBorder="1" applyAlignment="1" applyProtection="1">
      <alignment horizontal="center" vertical="top"/>
      <protection hidden="1"/>
    </xf>
    <xf numFmtId="10" fontId="21" fillId="32" borderId="0" xfId="0" applyNumberFormat="1" applyFont="1" applyFill="1" applyBorder="1" applyAlignment="1" applyProtection="1">
      <alignment vertical="top"/>
      <protection hidden="1"/>
    </xf>
    <xf numFmtId="0" fontId="20" fillId="32" borderId="0" xfId="0" applyFont="1" applyFill="1" applyBorder="1" applyAlignment="1" applyProtection="1">
      <alignment vertical="top"/>
      <protection hidden="1"/>
    </xf>
    <xf numFmtId="2" fontId="22" fillId="0" borderId="15" xfId="0" applyNumberFormat="1" applyFont="1" applyFill="1" applyBorder="1" applyAlignment="1" applyProtection="1">
      <alignment/>
      <protection hidden="1"/>
    </xf>
    <xf numFmtId="2" fontId="20" fillId="0" borderId="15" xfId="0" applyNumberFormat="1" applyFont="1" applyFill="1" applyBorder="1" applyAlignment="1" applyProtection="1">
      <alignment/>
      <protection hidden="1"/>
    </xf>
    <xf numFmtId="0" fontId="20" fillId="0" borderId="15" xfId="0" applyFont="1" applyFill="1" applyBorder="1" applyAlignment="1" applyProtection="1">
      <alignment/>
      <protection hidden="1"/>
    </xf>
    <xf numFmtId="2" fontId="22" fillId="0" borderId="15" xfId="0" applyNumberFormat="1" applyFont="1" applyBorder="1" applyAlignment="1" applyProtection="1">
      <alignment/>
      <protection hidden="1"/>
    </xf>
    <xf numFmtId="2" fontId="20" fillId="0" borderId="15" xfId="0" applyNumberFormat="1" applyFont="1" applyBorder="1" applyAlignment="1" applyProtection="1">
      <alignment/>
      <protection hidden="1"/>
    </xf>
    <xf numFmtId="40" fontId="20" fillId="0" borderId="15" xfId="0" applyNumberFormat="1" applyFont="1" applyBorder="1" applyAlignment="1" applyProtection="1">
      <alignment/>
      <protection hidden="1"/>
    </xf>
    <xf numFmtId="0" fontId="20" fillId="0" borderId="15" xfId="0" applyFont="1" applyBorder="1" applyAlignment="1" applyProtection="1">
      <alignment/>
      <protection hidden="1"/>
    </xf>
    <xf numFmtId="0" fontId="19" fillId="32" borderId="15" xfId="0" applyFont="1" applyFill="1" applyBorder="1" applyAlignment="1" applyProtection="1">
      <alignment vertical="center"/>
      <protection hidden="1"/>
    </xf>
    <xf numFmtId="179" fontId="23" fillId="32" borderId="15" xfId="42" applyFont="1" applyFill="1" applyBorder="1" applyAlignment="1" applyProtection="1">
      <alignment horizontal="center" vertical="center"/>
      <protection hidden="1"/>
    </xf>
    <xf numFmtId="179" fontId="23" fillId="0" borderId="15" xfId="42" applyFont="1" applyBorder="1" applyAlignment="1" applyProtection="1">
      <alignment horizontal="center" vertical="center"/>
      <protection hidden="1"/>
    </xf>
    <xf numFmtId="0" fontId="20" fillId="0" borderId="15" xfId="0" applyNumberFormat="1" applyFont="1" applyFill="1" applyBorder="1" applyAlignment="1" applyProtection="1">
      <alignment/>
      <protection hidden="1"/>
    </xf>
    <xf numFmtId="0" fontId="20" fillId="0" borderId="15" xfId="0" applyNumberFormat="1" applyFont="1" applyBorder="1" applyAlignment="1" applyProtection="1">
      <alignment/>
      <protection hidden="1"/>
    </xf>
    <xf numFmtId="0" fontId="20" fillId="34" borderId="15" xfId="0" applyNumberFormat="1" applyFont="1" applyFill="1" applyBorder="1" applyAlignment="1" applyProtection="1">
      <alignment/>
      <protection hidden="1"/>
    </xf>
    <xf numFmtId="0" fontId="23" fillId="32" borderId="15" xfId="42" applyNumberFormat="1" applyFont="1" applyFill="1" applyBorder="1" applyAlignment="1" applyProtection="1">
      <alignment horizontal="center" vertical="center"/>
      <protection hidden="1"/>
    </xf>
    <xf numFmtId="0" fontId="20" fillId="0" borderId="15" xfId="0" applyNumberFormat="1" applyFont="1" applyFill="1" applyBorder="1" applyAlignment="1" applyProtection="1">
      <alignment horizontal="center"/>
      <protection hidden="1"/>
    </xf>
    <xf numFmtId="0" fontId="20" fillId="0" borderId="15" xfId="0" applyNumberFormat="1" applyFont="1" applyBorder="1" applyAlignment="1" applyProtection="1">
      <alignment horizontal="center"/>
      <protection hidden="1"/>
    </xf>
    <xf numFmtId="0" fontId="23" fillId="0" borderId="15" xfId="0" applyNumberFormat="1" applyFont="1" applyBorder="1" applyAlignment="1" applyProtection="1">
      <alignment horizontal="center"/>
      <protection hidden="1"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 hidden="1"/>
    </xf>
    <xf numFmtId="10" fontId="20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/>
      <protection hidden="1"/>
    </xf>
    <xf numFmtId="10" fontId="20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49" fontId="18" fillId="32" borderId="16" xfId="0" applyNumberFormat="1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hidden="1"/>
    </xf>
    <xf numFmtId="0" fontId="10" fillId="0" borderId="10" xfId="0" applyFont="1" applyBorder="1" applyAlignment="1">
      <alignment/>
    </xf>
    <xf numFmtId="0" fontId="2" fillId="0" borderId="14" xfId="0" applyFont="1" applyFill="1" applyBorder="1" applyAlignment="1" applyProtection="1">
      <alignment/>
      <protection hidden="1"/>
    </xf>
    <xf numFmtId="9" fontId="13" fillId="0" borderId="0" xfId="0" applyNumberFormat="1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>
      <alignment horizontal="center"/>
    </xf>
    <xf numFmtId="4" fontId="20" fillId="0" borderId="10" xfId="0" applyNumberFormat="1" applyFont="1" applyFill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/>
    </xf>
    <xf numFmtId="9" fontId="6" fillId="0" borderId="0" xfId="0" applyNumberFormat="1" applyFont="1" applyBorder="1" applyAlignment="1">
      <alignment horizontal="center"/>
    </xf>
    <xf numFmtId="0" fontId="10" fillId="0" borderId="0" xfId="0" applyFont="1" applyBorder="1" applyAlignment="1" applyProtection="1">
      <alignment/>
      <protection hidden="1"/>
    </xf>
    <xf numFmtId="10" fontId="13" fillId="0" borderId="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Fill="1" applyBorder="1" applyAlignment="1" applyProtection="1">
      <alignment/>
      <protection hidden="1"/>
    </xf>
    <xf numFmtId="4" fontId="10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>
      <alignment horizontal="center"/>
    </xf>
    <xf numFmtId="0" fontId="19" fillId="32" borderId="1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 applyProtection="1">
      <alignment/>
      <protection hidden="1"/>
    </xf>
    <xf numFmtId="0" fontId="19" fillId="0" borderId="19" xfId="0" applyFont="1" applyFill="1" applyBorder="1" applyAlignment="1" applyProtection="1">
      <alignment horizontal="center"/>
      <protection hidden="1"/>
    </xf>
    <xf numFmtId="0" fontId="19" fillId="0" borderId="20" xfId="0" applyNumberFormat="1" applyFont="1" applyFill="1" applyBorder="1" applyAlignment="1" applyProtection="1">
      <alignment/>
      <protection hidden="1"/>
    </xf>
    <xf numFmtId="0" fontId="20" fillId="0" borderId="19" xfId="0" applyFont="1" applyBorder="1" applyAlignment="1" applyProtection="1">
      <alignment horizontal="center"/>
      <protection hidden="1"/>
    </xf>
    <xf numFmtId="40" fontId="19" fillId="0" borderId="20" xfId="0" applyNumberFormat="1" applyFont="1" applyFill="1" applyBorder="1" applyAlignment="1" applyProtection="1">
      <alignment/>
      <protection hidden="1"/>
    </xf>
    <xf numFmtId="0" fontId="23" fillId="0" borderId="19" xfId="0" applyFont="1" applyBorder="1" applyAlignment="1" applyProtection="1">
      <alignment horizontal="center"/>
      <protection hidden="1"/>
    </xf>
    <xf numFmtId="0" fontId="19" fillId="32" borderId="19" xfId="0" applyFont="1" applyFill="1" applyBorder="1" applyAlignment="1" applyProtection="1">
      <alignment vertical="center"/>
      <protection hidden="1"/>
    </xf>
    <xf numFmtId="179" fontId="19" fillId="32" borderId="20" xfId="42" applyFont="1" applyFill="1" applyBorder="1" applyAlignment="1" applyProtection="1">
      <alignment horizontal="center" vertical="center"/>
      <protection hidden="1"/>
    </xf>
    <xf numFmtId="0" fontId="2" fillId="32" borderId="14" xfId="0" applyFont="1" applyFill="1" applyBorder="1" applyAlignment="1" applyProtection="1">
      <alignment vertical="center"/>
      <protection locked="0"/>
    </xf>
    <xf numFmtId="179" fontId="2" fillId="32" borderId="10" xfId="42" applyFont="1" applyFill="1" applyBorder="1" applyAlignment="1" applyProtection="1">
      <alignment horizontal="center" vertical="center"/>
      <protection hidden="1"/>
    </xf>
    <xf numFmtId="0" fontId="2" fillId="32" borderId="21" xfId="0" applyFont="1" applyFill="1" applyBorder="1" applyAlignment="1" applyProtection="1">
      <alignment vertical="center"/>
      <protection locked="0"/>
    </xf>
    <xf numFmtId="0" fontId="2" fillId="32" borderId="22" xfId="0" applyFont="1" applyFill="1" applyBorder="1" applyAlignment="1" applyProtection="1">
      <alignment vertical="center"/>
      <protection locked="0"/>
    </xf>
    <xf numFmtId="179" fontId="52" fillId="32" borderId="22" xfId="53" applyNumberFormat="1" applyFill="1" applyBorder="1" applyAlignment="1" applyProtection="1">
      <alignment horizontal="center" vertical="center"/>
      <protection locked="0"/>
    </xf>
    <xf numFmtId="179" fontId="9" fillId="32" borderId="22" xfId="53" applyNumberFormat="1" applyFont="1" applyFill="1" applyBorder="1" applyAlignment="1" applyProtection="1">
      <alignment vertical="center"/>
      <protection locked="0"/>
    </xf>
    <xf numFmtId="179" fontId="9" fillId="32" borderId="22" xfId="53" applyNumberFormat="1" applyFont="1" applyFill="1" applyBorder="1" applyAlignment="1" applyProtection="1">
      <alignment horizontal="center" vertical="center"/>
      <protection locked="0"/>
    </xf>
    <xf numFmtId="179" fontId="7" fillId="32" borderId="22" xfId="42" applyFont="1" applyFill="1" applyBorder="1" applyAlignment="1" applyProtection="1">
      <alignment horizontal="center" vertical="center"/>
      <protection locked="0"/>
    </xf>
    <xf numFmtId="179" fontId="7" fillId="0" borderId="22" xfId="42" applyFont="1" applyBorder="1" applyAlignment="1" applyProtection="1">
      <alignment horizontal="center" vertical="center"/>
      <protection locked="0"/>
    </xf>
    <xf numFmtId="0" fontId="10" fillId="35" borderId="0" xfId="0" applyFont="1" applyFill="1" applyAlignment="1">
      <alignment/>
    </xf>
    <xf numFmtId="0" fontId="10" fillId="35" borderId="0" xfId="0" applyFont="1" applyFill="1" applyAlignment="1">
      <alignment horizontal="center"/>
    </xf>
    <xf numFmtId="0" fontId="14" fillId="35" borderId="0" xfId="0" applyFont="1" applyFill="1" applyAlignment="1">
      <alignment/>
    </xf>
    <xf numFmtId="0" fontId="10" fillId="35" borderId="0" xfId="0" applyFont="1" applyFill="1" applyBorder="1" applyAlignment="1">
      <alignment/>
    </xf>
    <xf numFmtId="2" fontId="10" fillId="35" borderId="0" xfId="0" applyNumberFormat="1" applyFont="1" applyFill="1" applyBorder="1" applyAlignment="1">
      <alignment/>
    </xf>
    <xf numFmtId="2" fontId="10" fillId="35" borderId="0" xfId="0" applyNumberFormat="1" applyFont="1" applyFill="1" applyAlignment="1">
      <alignment/>
    </xf>
    <xf numFmtId="0" fontId="17" fillId="35" borderId="0" xfId="0" applyFont="1" applyFill="1" applyAlignment="1">
      <alignment horizontal="center"/>
    </xf>
    <xf numFmtId="0" fontId="17" fillId="35" borderId="0" xfId="0" applyFont="1" applyFill="1" applyAlignment="1">
      <alignment/>
    </xf>
    <xf numFmtId="0" fontId="10" fillId="36" borderId="0" xfId="0" applyFont="1" applyFill="1" applyBorder="1" applyAlignment="1">
      <alignment/>
    </xf>
    <xf numFmtId="0" fontId="2" fillId="36" borderId="14" xfId="0" applyFont="1" applyFill="1" applyBorder="1" applyAlignment="1" applyProtection="1">
      <alignment/>
      <protection hidden="1"/>
    </xf>
    <xf numFmtId="0" fontId="10" fillId="36" borderId="0" xfId="0" applyFont="1" applyFill="1" applyBorder="1" applyAlignment="1" applyProtection="1">
      <alignment horizontal="center"/>
      <protection hidden="1"/>
    </xf>
    <xf numFmtId="0" fontId="13" fillId="36" borderId="0" xfId="0" applyFont="1" applyFill="1" applyBorder="1" applyAlignment="1" applyProtection="1">
      <alignment/>
      <protection locked="0"/>
    </xf>
    <xf numFmtId="0" fontId="5" fillId="36" borderId="0" xfId="0" applyFont="1" applyFill="1" applyBorder="1" applyAlignment="1" applyProtection="1">
      <alignment/>
      <protection locked="0"/>
    </xf>
    <xf numFmtId="4" fontId="10" fillId="36" borderId="0" xfId="0" applyNumberFormat="1" applyFont="1" applyFill="1" applyBorder="1" applyAlignment="1" applyProtection="1">
      <alignment/>
      <protection hidden="1"/>
    </xf>
    <xf numFmtId="0" fontId="10" fillId="36" borderId="0" xfId="0" applyFont="1" applyFill="1" applyBorder="1" applyAlignment="1">
      <alignment horizontal="center"/>
    </xf>
    <xf numFmtId="187" fontId="13" fillId="36" borderId="0" xfId="0" applyNumberFormat="1" applyFont="1" applyFill="1" applyBorder="1" applyAlignment="1" applyProtection="1">
      <alignment horizontal="center"/>
      <protection locked="0"/>
    </xf>
    <xf numFmtId="1" fontId="7" fillId="36" borderId="0" xfId="0" applyNumberFormat="1" applyFont="1" applyFill="1" applyBorder="1" applyAlignment="1" applyProtection="1">
      <alignment/>
      <protection hidden="1"/>
    </xf>
    <xf numFmtId="2" fontId="10" fillId="36" borderId="0" xfId="0" applyNumberFormat="1" applyFont="1" applyFill="1" applyBorder="1" applyAlignment="1" applyProtection="1">
      <alignment horizontal="center"/>
      <protection hidden="1"/>
    </xf>
    <xf numFmtId="0" fontId="16" fillId="36" borderId="23" xfId="0" applyFont="1" applyFill="1" applyBorder="1" applyAlignment="1">
      <alignment horizontal="center"/>
    </xf>
    <xf numFmtId="0" fontId="19" fillId="36" borderId="19" xfId="0" applyFont="1" applyFill="1" applyBorder="1" applyAlignment="1" applyProtection="1">
      <alignment/>
      <protection hidden="1"/>
    </xf>
    <xf numFmtId="0" fontId="20" fillId="36" borderId="15" xfId="0" applyFont="1" applyFill="1" applyBorder="1" applyAlignment="1" applyProtection="1">
      <alignment/>
      <protection hidden="1"/>
    </xf>
    <xf numFmtId="0" fontId="21" fillId="36" borderId="15" xfId="0" applyNumberFormat="1" applyFont="1" applyFill="1" applyBorder="1" applyAlignment="1" applyProtection="1">
      <alignment horizontal="center" vertical="top"/>
      <protection hidden="1"/>
    </xf>
    <xf numFmtId="0" fontId="23" fillId="36" borderId="15" xfId="0" applyNumberFormat="1" applyFont="1" applyFill="1" applyBorder="1" applyAlignment="1" applyProtection="1">
      <alignment vertical="top"/>
      <protection hidden="1"/>
    </xf>
    <xf numFmtId="0" fontId="21" fillId="36" borderId="15" xfId="0" applyNumberFormat="1" applyFont="1" applyFill="1" applyBorder="1" applyAlignment="1" applyProtection="1">
      <alignment vertical="top"/>
      <protection hidden="1"/>
    </xf>
    <xf numFmtId="10" fontId="21" fillId="36" borderId="15" xfId="0" applyNumberFormat="1" applyFont="1" applyFill="1" applyBorder="1" applyAlignment="1" applyProtection="1">
      <alignment vertical="top"/>
      <protection hidden="1"/>
    </xf>
    <xf numFmtId="0" fontId="20" fillId="36" borderId="15" xfId="0" applyFont="1" applyFill="1" applyBorder="1" applyAlignment="1" applyProtection="1">
      <alignment vertical="top"/>
      <protection hidden="1"/>
    </xf>
    <xf numFmtId="0" fontId="20" fillId="36" borderId="15" xfId="0" applyNumberFormat="1" applyFont="1" applyFill="1" applyBorder="1" applyAlignment="1" applyProtection="1">
      <alignment vertical="top"/>
      <protection hidden="1"/>
    </xf>
    <xf numFmtId="2" fontId="20" fillId="36" borderId="20" xfId="0" applyNumberFormat="1" applyFont="1" applyFill="1" applyBorder="1" applyAlignment="1" applyProtection="1">
      <alignment/>
      <protection hidden="1"/>
    </xf>
    <xf numFmtId="0" fontId="2" fillId="37" borderId="0" xfId="0" applyFont="1" applyFill="1" applyBorder="1" applyAlignment="1" applyProtection="1">
      <alignment horizontal="left"/>
      <protection locked="0"/>
    </xf>
    <xf numFmtId="0" fontId="2" fillId="32" borderId="14" xfId="0" applyFont="1" applyFill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horizontal="center"/>
      <protection locked="0"/>
    </xf>
    <xf numFmtId="179" fontId="2" fillId="32" borderId="10" xfId="42" applyFont="1" applyFill="1" applyBorder="1" applyAlignment="1" applyProtection="1">
      <alignment horizontal="center" vertical="center"/>
      <protection locked="0"/>
    </xf>
    <xf numFmtId="179" fontId="2" fillId="32" borderId="24" xfId="42" applyFont="1" applyFill="1" applyBorder="1" applyAlignment="1" applyProtection="1">
      <alignment horizontal="center" vertical="center"/>
      <protection locked="0"/>
    </xf>
    <xf numFmtId="0" fontId="2" fillId="37" borderId="14" xfId="0" applyFont="1" applyFill="1" applyBorder="1" applyAlignment="1" applyProtection="1">
      <alignment/>
      <protection locked="0"/>
    </xf>
    <xf numFmtId="0" fontId="10" fillId="36" borderId="0" xfId="0" applyFont="1" applyFill="1" applyBorder="1" applyAlignment="1" applyProtection="1">
      <alignment/>
      <protection locked="0"/>
    </xf>
    <xf numFmtId="0" fontId="10" fillId="37" borderId="0" xfId="0" applyFont="1" applyFill="1" applyBorder="1" applyAlignment="1" applyProtection="1">
      <alignment/>
      <protection locked="0"/>
    </xf>
    <xf numFmtId="0" fontId="12" fillId="37" borderId="0" xfId="0" applyFont="1" applyFill="1" applyBorder="1" applyAlignment="1" applyProtection="1">
      <alignment horizontal="center"/>
      <protection locked="0"/>
    </xf>
    <xf numFmtId="0" fontId="13" fillId="37" borderId="10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/>
      <protection hidden="1"/>
    </xf>
    <xf numFmtId="0" fontId="10" fillId="0" borderId="18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179" fontId="7" fillId="32" borderId="0" xfId="42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0" fillId="0" borderId="10" xfId="0" applyFont="1" applyFill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0</xdr:rowOff>
    </xdr:from>
    <xdr:to>
      <xdr:col>7</xdr:col>
      <xdr:colOff>323850</xdr:colOff>
      <xdr:row>0</xdr:row>
      <xdr:rowOff>771525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4276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tabSelected="1" zoomScalePageLayoutView="0" workbookViewId="0" topLeftCell="A2">
      <selection activeCell="G6" sqref="G6"/>
    </sheetView>
  </sheetViews>
  <sheetFormatPr defaultColWidth="9.140625" defaultRowHeight="15"/>
  <cols>
    <col min="1" max="1" width="19.00390625" style="8" customWidth="1"/>
    <col min="2" max="2" width="0.13671875" style="8" hidden="1" customWidth="1"/>
    <col min="3" max="3" width="8.8515625" style="13" customWidth="1"/>
    <col min="4" max="4" width="11.00390625" style="8" customWidth="1"/>
    <col min="5" max="5" width="11.8515625" style="8" customWidth="1"/>
    <col min="6" max="6" width="11.00390625" style="8" customWidth="1"/>
    <col min="7" max="7" width="8.57421875" style="8" customWidth="1"/>
    <col min="8" max="8" width="8.421875" style="8" customWidth="1"/>
    <col min="9" max="9" width="8.140625" style="8" hidden="1" customWidth="1"/>
    <col min="10" max="10" width="15.140625" style="8" hidden="1" customWidth="1"/>
    <col min="11" max="11" width="11.8515625" style="8" hidden="1" customWidth="1"/>
    <col min="12" max="12" width="9.140625" style="8" customWidth="1"/>
    <col min="13" max="13" width="10.00390625" style="8" customWidth="1"/>
    <col min="14" max="14" width="7.8515625" style="14" hidden="1" customWidth="1"/>
    <col min="15" max="15" width="30.421875" style="8" customWidth="1"/>
    <col min="16" max="16" width="11.421875" style="8" customWidth="1"/>
    <col min="17" max="17" width="9.57421875" style="8" bestFit="1" customWidth="1"/>
    <col min="18" max="16384" width="9.140625" style="8" customWidth="1"/>
  </cols>
  <sheetData>
    <row r="1" spans="1:20" ht="62.25" customHeight="1">
      <c r="A1" s="59"/>
      <c r="B1" s="60"/>
      <c r="C1" s="61"/>
      <c r="D1" s="60"/>
      <c r="E1" s="60"/>
      <c r="F1" s="60"/>
      <c r="G1" s="60"/>
      <c r="H1" s="140"/>
      <c r="I1" s="140"/>
      <c r="J1" s="140"/>
      <c r="K1" s="140"/>
      <c r="L1" s="140"/>
      <c r="M1" s="141"/>
      <c r="O1" s="100"/>
      <c r="P1" s="100"/>
      <c r="Q1" s="100"/>
      <c r="R1" s="100"/>
      <c r="S1" s="100"/>
      <c r="T1" s="100"/>
    </row>
    <row r="2" spans="1:20" ht="18" customHeight="1">
      <c r="A2" s="133" t="s">
        <v>31</v>
      </c>
      <c r="B2" s="134"/>
      <c r="C2" s="128"/>
      <c r="D2" s="135"/>
      <c r="E2" s="135"/>
      <c r="F2" s="135"/>
      <c r="G2" s="135"/>
      <c r="H2" s="136"/>
      <c r="I2" s="135"/>
      <c r="J2" s="135"/>
      <c r="K2" s="135"/>
      <c r="L2" s="135"/>
      <c r="M2" s="137"/>
      <c r="O2" s="100"/>
      <c r="P2" s="100"/>
      <c r="Q2" s="100"/>
      <c r="R2" s="100"/>
      <c r="S2" s="100"/>
      <c r="T2" s="100"/>
    </row>
    <row r="3" spans="1:20" ht="37.5" customHeight="1">
      <c r="A3" s="62"/>
      <c r="B3" s="9"/>
      <c r="C3" s="63" t="s">
        <v>0</v>
      </c>
      <c r="D3" s="64" t="s">
        <v>23</v>
      </c>
      <c r="E3" s="65"/>
      <c r="F3" s="9"/>
      <c r="G3" s="9"/>
      <c r="H3" s="9"/>
      <c r="I3" s="9"/>
      <c r="J3" s="66"/>
      <c r="K3" s="9"/>
      <c r="L3" s="9"/>
      <c r="M3" s="67"/>
      <c r="O3" s="101"/>
      <c r="P3" s="100"/>
      <c r="Q3" s="100"/>
      <c r="R3" s="100"/>
      <c r="S3" s="100"/>
      <c r="T3" s="100"/>
    </row>
    <row r="4" spans="1:20" ht="15.75">
      <c r="A4" s="109" t="s">
        <v>21</v>
      </c>
      <c r="B4" s="108"/>
      <c r="C4" s="110"/>
      <c r="D4" s="111">
        <v>19900</v>
      </c>
      <c r="E4" s="112"/>
      <c r="F4" s="9"/>
      <c r="G4" s="9"/>
      <c r="H4" s="9"/>
      <c r="I4" s="9"/>
      <c r="J4" s="10"/>
      <c r="K4" s="1"/>
      <c r="L4" s="9"/>
      <c r="M4" s="67"/>
      <c r="O4" s="101"/>
      <c r="P4" s="100"/>
      <c r="Q4" s="100"/>
      <c r="R4" s="100"/>
      <c r="S4" s="100"/>
      <c r="T4" s="100"/>
    </row>
    <row r="5" spans="1:20" ht="15.75">
      <c r="A5" s="68" t="s">
        <v>1</v>
      </c>
      <c r="B5" s="9"/>
      <c r="C5" s="69">
        <v>0.33</v>
      </c>
      <c r="D5" s="11">
        <f>C5*D4</f>
        <v>6567</v>
      </c>
      <c r="E5" s="11"/>
      <c r="F5" s="9"/>
      <c r="G5" s="10"/>
      <c r="H5" s="47"/>
      <c r="I5" s="48"/>
      <c r="J5" s="48"/>
      <c r="K5" s="49"/>
      <c r="L5" s="47"/>
      <c r="M5" s="70"/>
      <c r="O5" s="101"/>
      <c r="P5" s="102"/>
      <c r="Q5" s="100"/>
      <c r="R5" s="100"/>
      <c r="S5" s="100"/>
      <c r="T5" s="100"/>
    </row>
    <row r="6" spans="1:20" ht="13.5">
      <c r="A6" s="109" t="s">
        <v>2</v>
      </c>
      <c r="B6" s="108"/>
      <c r="C6" s="110"/>
      <c r="D6" s="113">
        <f>D4-D5</f>
        <v>13333</v>
      </c>
      <c r="E6" s="113"/>
      <c r="F6" s="9"/>
      <c r="G6" s="9"/>
      <c r="H6" s="50"/>
      <c r="I6" s="48"/>
      <c r="J6" s="48"/>
      <c r="K6" s="49"/>
      <c r="L6" s="51"/>
      <c r="M6" s="71"/>
      <c r="O6" s="101"/>
      <c r="P6" s="102"/>
      <c r="Q6" s="100"/>
      <c r="R6" s="100"/>
      <c r="S6" s="100"/>
      <c r="T6" s="100"/>
    </row>
    <row r="7" spans="1:20" ht="15.75">
      <c r="A7" s="68" t="s">
        <v>3</v>
      </c>
      <c r="B7" s="9"/>
      <c r="C7" s="69">
        <v>0.01</v>
      </c>
      <c r="D7" s="11">
        <f>D4*C7</f>
        <v>199</v>
      </c>
      <c r="E7" s="11"/>
      <c r="F7" s="9"/>
      <c r="G7" s="9"/>
      <c r="H7" s="52"/>
      <c r="I7" s="48"/>
      <c r="J7" s="48"/>
      <c r="K7" s="50"/>
      <c r="L7" s="51"/>
      <c r="M7" s="71"/>
      <c r="O7" s="100"/>
      <c r="P7" s="102"/>
      <c r="Q7" s="100"/>
      <c r="R7" s="100"/>
      <c r="S7" s="100"/>
      <c r="T7" s="100"/>
    </row>
    <row r="8" spans="1:20" ht="2.25" customHeight="1" hidden="1">
      <c r="A8" s="72"/>
      <c r="B8" s="9"/>
      <c r="C8" s="73"/>
      <c r="D8" s="74"/>
      <c r="E8" s="74"/>
      <c r="F8" s="9"/>
      <c r="G8" s="9"/>
      <c r="H8" s="50"/>
      <c r="I8" s="48"/>
      <c r="J8" s="50"/>
      <c r="K8" s="50"/>
      <c r="L8" s="51"/>
      <c r="M8" s="71"/>
      <c r="O8" s="100"/>
      <c r="P8" s="100"/>
      <c r="Q8" s="100"/>
      <c r="R8" s="100"/>
      <c r="S8" s="100"/>
      <c r="T8" s="100"/>
    </row>
    <row r="9" spans="1:20" ht="15.75">
      <c r="A9" s="109" t="s">
        <v>4</v>
      </c>
      <c r="B9" s="108"/>
      <c r="C9" s="114"/>
      <c r="D9" s="111">
        <v>48</v>
      </c>
      <c r="E9" s="112"/>
      <c r="F9" s="9"/>
      <c r="G9" s="9"/>
      <c r="H9" s="49"/>
      <c r="I9" s="48"/>
      <c r="J9" s="48"/>
      <c r="K9" s="49"/>
      <c r="L9" s="53"/>
      <c r="M9" s="71"/>
      <c r="O9" s="103"/>
      <c r="P9" s="102"/>
      <c r="Q9" s="100"/>
      <c r="R9" s="100"/>
      <c r="S9" s="100"/>
      <c r="T9" s="100"/>
    </row>
    <row r="10" spans="1:20" ht="15.75">
      <c r="A10" s="62" t="s">
        <v>5</v>
      </c>
      <c r="B10" s="9"/>
      <c r="C10" s="75">
        <v>0.049</v>
      </c>
      <c r="D10" s="138" t="s">
        <v>33</v>
      </c>
      <c r="E10" s="9"/>
      <c r="F10" s="9"/>
      <c r="G10" s="10"/>
      <c r="H10" s="54"/>
      <c r="I10" s="48"/>
      <c r="J10" s="48"/>
      <c r="K10" s="55"/>
      <c r="L10" s="56"/>
      <c r="M10" s="76"/>
      <c r="O10" s="103"/>
      <c r="P10" s="100"/>
      <c r="Q10" s="100"/>
      <c r="R10" s="100"/>
      <c r="S10" s="100"/>
      <c r="T10" s="100"/>
    </row>
    <row r="11" spans="1:20" ht="15.75">
      <c r="A11" s="109" t="s">
        <v>6</v>
      </c>
      <c r="B11" s="108"/>
      <c r="C11" s="115">
        <v>0.025</v>
      </c>
      <c r="D11" s="113">
        <f>D4*C11</f>
        <v>497.5</v>
      </c>
      <c r="E11" s="113"/>
      <c r="F11" s="9"/>
      <c r="G11" s="139" t="s">
        <v>34</v>
      </c>
      <c r="H11" s="139"/>
      <c r="I11" s="139"/>
      <c r="J11" s="139"/>
      <c r="K11" s="139"/>
      <c r="L11" s="139" t="s">
        <v>35</v>
      </c>
      <c r="M11" s="77"/>
      <c r="O11" s="103"/>
      <c r="P11" s="100"/>
      <c r="Q11" s="100"/>
      <c r="R11" s="100"/>
      <c r="S11" s="100"/>
      <c r="T11" s="100"/>
    </row>
    <row r="12" spans="1:20" ht="15" thickBot="1">
      <c r="A12" s="68" t="s">
        <v>30</v>
      </c>
      <c r="B12" s="3"/>
      <c r="C12" s="130">
        <v>10</v>
      </c>
      <c r="D12" s="12"/>
      <c r="E12" s="78"/>
      <c r="F12" s="9"/>
      <c r="G12" s="9"/>
      <c r="H12" s="9"/>
      <c r="I12" s="9"/>
      <c r="J12" s="9"/>
      <c r="K12" s="9"/>
      <c r="L12" s="9"/>
      <c r="M12" s="67"/>
      <c r="O12" s="103"/>
      <c r="P12" s="100"/>
      <c r="Q12" s="100"/>
      <c r="R12" s="100"/>
      <c r="S12" s="100"/>
      <c r="T12" s="100"/>
    </row>
    <row r="13" spans="1:20" ht="15" thickBot="1">
      <c r="A13" s="109" t="s">
        <v>19</v>
      </c>
      <c r="B13" s="116"/>
      <c r="C13" s="117"/>
      <c r="D13" s="108">
        <v>12</v>
      </c>
      <c r="E13" s="118">
        <v>12</v>
      </c>
      <c r="F13" s="108" t="s">
        <v>20</v>
      </c>
      <c r="G13" s="9"/>
      <c r="H13" s="9"/>
      <c r="I13" s="9"/>
      <c r="J13" s="9"/>
      <c r="K13" s="9"/>
      <c r="L13" s="9"/>
      <c r="M13" s="67"/>
      <c r="O13" s="58"/>
      <c r="P13" s="100"/>
      <c r="Q13" s="100"/>
      <c r="R13" s="100"/>
      <c r="S13" s="100"/>
      <c r="T13" s="100"/>
    </row>
    <row r="14" spans="1:20" ht="0.75" customHeight="1" thickBot="1">
      <c r="A14" s="68"/>
      <c r="B14" s="79" t="s">
        <v>7</v>
      </c>
      <c r="C14" s="80">
        <v>12</v>
      </c>
      <c r="D14" s="9"/>
      <c r="E14" s="9"/>
      <c r="F14" s="9"/>
      <c r="G14" s="9"/>
      <c r="H14" s="9"/>
      <c r="I14" s="2"/>
      <c r="J14" s="143"/>
      <c r="K14" s="144"/>
      <c r="L14" s="144"/>
      <c r="M14" s="145"/>
      <c r="O14" s="103"/>
      <c r="P14" s="100"/>
      <c r="Q14" s="100"/>
      <c r="R14" s="100"/>
      <c r="S14" s="100"/>
      <c r="T14" s="100"/>
    </row>
    <row r="15" spans="1:20" ht="0.75" customHeight="1" hidden="1" thickBot="1">
      <c r="A15" s="68"/>
      <c r="B15" s="4"/>
      <c r="C15" s="81"/>
      <c r="D15" s="9"/>
      <c r="E15" s="9"/>
      <c r="F15" s="9"/>
      <c r="G15" s="9"/>
      <c r="H15" s="9"/>
      <c r="I15" s="9"/>
      <c r="J15" s="9"/>
      <c r="K15" s="9"/>
      <c r="L15" s="9"/>
      <c r="M15" s="67"/>
      <c r="O15" s="104"/>
      <c r="P15" s="100"/>
      <c r="Q15" s="100"/>
      <c r="R15" s="100"/>
      <c r="S15" s="100"/>
      <c r="T15" s="100"/>
    </row>
    <row r="16" spans="1:20" ht="99.75" customHeight="1" thickBot="1">
      <c r="A16" s="21" t="s">
        <v>8</v>
      </c>
      <c r="B16" s="22" t="s">
        <v>9</v>
      </c>
      <c r="C16" s="23" t="s">
        <v>10</v>
      </c>
      <c r="D16" s="22" t="s">
        <v>11</v>
      </c>
      <c r="E16" s="23" t="s">
        <v>26</v>
      </c>
      <c r="F16" s="23" t="s">
        <v>27</v>
      </c>
      <c r="G16" s="22" t="s">
        <v>12</v>
      </c>
      <c r="H16" s="22" t="s">
        <v>13</v>
      </c>
      <c r="I16" s="22"/>
      <c r="J16" s="22" t="s">
        <v>14</v>
      </c>
      <c r="K16" s="22"/>
      <c r="L16" s="22" t="s">
        <v>15</v>
      </c>
      <c r="M16" s="82" t="s">
        <v>25</v>
      </c>
      <c r="N16" s="57" t="s">
        <v>22</v>
      </c>
      <c r="O16" s="103"/>
      <c r="P16" s="100"/>
      <c r="Q16" s="100"/>
      <c r="R16" s="100"/>
      <c r="S16" s="100"/>
      <c r="T16" s="100"/>
    </row>
    <row r="17" spans="1:20" ht="13.5" hidden="1">
      <c r="A17" s="25"/>
      <c r="B17" s="26"/>
      <c r="C17" s="27" t="e">
        <f>#REF!/$D$4</f>
        <v>#REF!</v>
      </c>
      <c r="D17" s="28" t="e">
        <f>#REF!/$D$4</f>
        <v>#REF!</v>
      </c>
      <c r="E17" s="28"/>
      <c r="F17" s="28" t="e">
        <f>#REF!/$D$4</f>
        <v>#REF!</v>
      </c>
      <c r="G17" s="28" t="e">
        <f>#REF!/$D$4</f>
        <v>#REF!</v>
      </c>
      <c r="H17" s="29"/>
      <c r="I17" s="29"/>
      <c r="J17" s="29"/>
      <c r="K17" s="16"/>
      <c r="L17" s="16"/>
      <c r="M17" s="83"/>
      <c r="N17" s="17"/>
      <c r="O17" s="101"/>
      <c r="P17" s="100"/>
      <c r="Q17" s="100"/>
      <c r="R17" s="100"/>
      <c r="S17" s="100"/>
      <c r="T17" s="100"/>
    </row>
    <row r="18" spans="1:20" ht="13.5">
      <c r="A18" s="84" t="s">
        <v>24</v>
      </c>
      <c r="B18" s="30">
        <f>-D4</f>
        <v>-19900</v>
      </c>
      <c r="C18" s="44"/>
      <c r="D18" s="40">
        <f>D5</f>
        <v>6567</v>
      </c>
      <c r="E18" s="40">
        <v>200</v>
      </c>
      <c r="F18" s="40"/>
      <c r="G18" s="32"/>
      <c r="H18" s="30">
        <f>B18+(D18+G18)</f>
        <v>-13333</v>
      </c>
      <c r="I18" s="31"/>
      <c r="J18" s="31">
        <f>ROUND($B$12*$B$13,2)/12</f>
        <v>0</v>
      </c>
      <c r="K18" s="32"/>
      <c r="L18" s="40">
        <f>(D18+E18)*19%</f>
        <v>1285.73</v>
      </c>
      <c r="M18" s="85">
        <f>(L18+E18+D18)+(D11*119%)</f>
        <v>8644.755</v>
      </c>
      <c r="N18" s="20">
        <f>M18</f>
        <v>8644.755</v>
      </c>
      <c r="O18" s="100"/>
      <c r="P18" s="100"/>
      <c r="Q18" s="100"/>
      <c r="R18" s="100"/>
      <c r="S18" s="100"/>
      <c r="T18" s="100"/>
    </row>
    <row r="19" spans="1:20" ht="13.5">
      <c r="A19" s="86">
        <v>1</v>
      </c>
      <c r="B19" s="33">
        <f aca="true" t="shared" si="0" ref="B19:B65">H18</f>
        <v>-13333</v>
      </c>
      <c r="C19" s="45">
        <f aca="true" t="shared" si="1" ref="C19:C49">-ROUND($B19*$C$10/12,2)</f>
        <v>54.44</v>
      </c>
      <c r="D19" s="41">
        <f>IF(A19=$D$9,$D$4-SUM($D$18:D18)-$D$7,F19-C19-E19)</f>
        <v>248.24</v>
      </c>
      <c r="E19" s="41">
        <f>C12</f>
        <v>10</v>
      </c>
      <c r="F19" s="41">
        <f>IF(A19&lt;=$D$9,ROUND(PMT($C$10/12,$D$9,-$D$6,$D$7,0)+E19,2),0)</f>
        <v>312.68</v>
      </c>
      <c r="G19" s="35">
        <f aca="true" t="shared" si="2" ref="G19:G78">IF(A19=$D$9,$D$7,0)</f>
        <v>0</v>
      </c>
      <c r="H19" s="33">
        <f>B19+D19+G19</f>
        <v>-13084.76</v>
      </c>
      <c r="I19" s="34"/>
      <c r="J19" s="34">
        <f aca="true" t="shared" si="3" ref="J19:J78">IF(A19&lt;=$D$9,($B$12*$M$10)/12,0)</f>
        <v>0</v>
      </c>
      <c r="K19" s="36"/>
      <c r="L19" s="41">
        <f>F19*19%</f>
        <v>59.4092</v>
      </c>
      <c r="M19" s="87">
        <f>F19+J19+L19</f>
        <v>372.0892</v>
      </c>
      <c r="N19" s="18" t="e">
        <f>M19+#REF!</f>
        <v>#REF!</v>
      </c>
      <c r="O19" s="100"/>
      <c r="P19" s="100"/>
      <c r="Q19" s="100"/>
      <c r="R19" s="100"/>
      <c r="S19" s="100"/>
      <c r="T19" s="100"/>
    </row>
    <row r="20" spans="1:20" ht="13.5">
      <c r="A20" s="86">
        <v>2</v>
      </c>
      <c r="B20" s="33">
        <f t="shared" si="0"/>
        <v>-13084.76</v>
      </c>
      <c r="C20" s="45">
        <f t="shared" si="1"/>
        <v>53.43</v>
      </c>
      <c r="D20" s="41">
        <f>IF(A20=$D$9,$D$4-SUM($D$18:D19)-$D$7,F20-C20-E20)</f>
        <v>249.25</v>
      </c>
      <c r="E20" s="41">
        <f aca="true" t="shared" si="4" ref="E20:E30">E19</f>
        <v>10</v>
      </c>
      <c r="F20" s="41">
        <f aca="true" t="shared" si="5" ref="F20:F78">IF(A20&lt;=$D$9,ROUND(PMT($C$10/12,$D$9,-$D$6,$D$7,0)+E20,2),0)</f>
        <v>312.68</v>
      </c>
      <c r="G20" s="35">
        <f t="shared" si="2"/>
        <v>0</v>
      </c>
      <c r="H20" s="33">
        <f aca="true" t="shared" si="6" ref="H20:H78">B20+D20+G20</f>
        <v>-12835.51</v>
      </c>
      <c r="I20" s="34"/>
      <c r="J20" s="34">
        <f t="shared" si="3"/>
        <v>0</v>
      </c>
      <c r="K20" s="36"/>
      <c r="L20" s="41">
        <f aca="true" t="shared" si="7" ref="L20:L77">F20*19%</f>
        <v>59.4092</v>
      </c>
      <c r="M20" s="87">
        <f aca="true" t="shared" si="8" ref="M20:M29">F20+J20+L20</f>
        <v>372.0892</v>
      </c>
      <c r="N20" s="18" t="e">
        <f>M20+#REF!</f>
        <v>#REF!</v>
      </c>
      <c r="O20" s="100"/>
      <c r="P20" s="100"/>
      <c r="Q20" s="100"/>
      <c r="R20" s="100"/>
      <c r="S20" s="100"/>
      <c r="T20" s="100"/>
    </row>
    <row r="21" spans="1:20" ht="13.5">
      <c r="A21" s="86">
        <v>3</v>
      </c>
      <c r="B21" s="33">
        <f t="shared" si="0"/>
        <v>-12835.51</v>
      </c>
      <c r="C21" s="45">
        <f t="shared" si="1"/>
        <v>52.41</v>
      </c>
      <c r="D21" s="41">
        <f>IF(A21=$D$9,$D$4-SUM($D$18:D20)-$D$7,F21-C21-E21)</f>
        <v>250.26999999999998</v>
      </c>
      <c r="E21" s="41">
        <f t="shared" si="4"/>
        <v>10</v>
      </c>
      <c r="F21" s="41">
        <f t="shared" si="5"/>
        <v>312.68</v>
      </c>
      <c r="G21" s="35">
        <f t="shared" si="2"/>
        <v>0</v>
      </c>
      <c r="H21" s="33">
        <f t="shared" si="6"/>
        <v>-12585.24</v>
      </c>
      <c r="I21" s="34"/>
      <c r="J21" s="34">
        <f t="shared" si="3"/>
        <v>0</v>
      </c>
      <c r="K21" s="36"/>
      <c r="L21" s="41">
        <f t="shared" si="7"/>
        <v>59.4092</v>
      </c>
      <c r="M21" s="87">
        <f t="shared" si="8"/>
        <v>372.0892</v>
      </c>
      <c r="N21" s="18" t="e">
        <f>M21+#REF!</f>
        <v>#REF!</v>
      </c>
      <c r="O21" s="100"/>
      <c r="P21" s="100"/>
      <c r="Q21" s="100"/>
      <c r="R21" s="100"/>
      <c r="S21" s="100"/>
      <c r="T21" s="100"/>
    </row>
    <row r="22" spans="1:20" ht="13.5">
      <c r="A22" s="86">
        <v>4</v>
      </c>
      <c r="B22" s="33">
        <f t="shared" si="0"/>
        <v>-12585.24</v>
      </c>
      <c r="C22" s="45">
        <f t="shared" si="1"/>
        <v>51.39</v>
      </c>
      <c r="D22" s="41">
        <f>IF(A22=$D$9,$D$4-SUM($D$18:D21)-$D$7,F22-C22-E22)</f>
        <v>251.29000000000002</v>
      </c>
      <c r="E22" s="41">
        <f t="shared" si="4"/>
        <v>10</v>
      </c>
      <c r="F22" s="41">
        <f t="shared" si="5"/>
        <v>312.68</v>
      </c>
      <c r="G22" s="35">
        <f t="shared" si="2"/>
        <v>0</v>
      </c>
      <c r="H22" s="33">
        <f t="shared" si="6"/>
        <v>-12333.949999999999</v>
      </c>
      <c r="I22" s="34"/>
      <c r="J22" s="34">
        <f t="shared" si="3"/>
        <v>0</v>
      </c>
      <c r="K22" s="36"/>
      <c r="L22" s="41">
        <f t="shared" si="7"/>
        <v>59.4092</v>
      </c>
      <c r="M22" s="87">
        <f t="shared" si="8"/>
        <v>372.0892</v>
      </c>
      <c r="N22" s="18" t="e">
        <f>M22+#REF!</f>
        <v>#REF!</v>
      </c>
      <c r="O22" s="100"/>
      <c r="P22" s="100"/>
      <c r="Q22" s="100"/>
      <c r="R22" s="100"/>
      <c r="S22" s="100"/>
      <c r="T22" s="100"/>
    </row>
    <row r="23" spans="1:20" ht="13.5">
      <c r="A23" s="86">
        <v>5</v>
      </c>
      <c r="B23" s="33">
        <f t="shared" si="0"/>
        <v>-12333.949999999999</v>
      </c>
      <c r="C23" s="45">
        <f t="shared" si="1"/>
        <v>50.36</v>
      </c>
      <c r="D23" s="41">
        <f>IF(A23=$D$9,$D$4-SUM($D$18:D22)-$D$7,F23-C23-E23)</f>
        <v>252.32</v>
      </c>
      <c r="E23" s="41">
        <f t="shared" si="4"/>
        <v>10</v>
      </c>
      <c r="F23" s="41">
        <f t="shared" si="5"/>
        <v>312.68</v>
      </c>
      <c r="G23" s="35">
        <f t="shared" si="2"/>
        <v>0</v>
      </c>
      <c r="H23" s="33">
        <f t="shared" si="6"/>
        <v>-12081.63</v>
      </c>
      <c r="I23" s="34"/>
      <c r="J23" s="34">
        <f t="shared" si="3"/>
        <v>0</v>
      </c>
      <c r="K23" s="36"/>
      <c r="L23" s="41">
        <f t="shared" si="7"/>
        <v>59.4092</v>
      </c>
      <c r="M23" s="87">
        <f t="shared" si="8"/>
        <v>372.0892</v>
      </c>
      <c r="N23" s="18" t="e">
        <f>M23+#REF!</f>
        <v>#REF!</v>
      </c>
      <c r="O23" s="100"/>
      <c r="P23" s="100"/>
      <c r="Q23" s="100"/>
      <c r="R23" s="100"/>
      <c r="S23" s="100"/>
      <c r="T23" s="100"/>
    </row>
    <row r="24" spans="1:20" ht="13.5">
      <c r="A24" s="86">
        <v>6</v>
      </c>
      <c r="B24" s="33">
        <f t="shared" si="0"/>
        <v>-12081.63</v>
      </c>
      <c r="C24" s="45">
        <f t="shared" si="1"/>
        <v>49.33</v>
      </c>
      <c r="D24" s="41">
        <f>IF(A24=$D$9,$D$4-SUM($D$18:D23)-$D$7,F24-C24-E24)</f>
        <v>253.35000000000002</v>
      </c>
      <c r="E24" s="41">
        <f t="shared" si="4"/>
        <v>10</v>
      </c>
      <c r="F24" s="41">
        <f t="shared" si="5"/>
        <v>312.68</v>
      </c>
      <c r="G24" s="35">
        <f t="shared" si="2"/>
        <v>0</v>
      </c>
      <c r="H24" s="33">
        <f t="shared" si="6"/>
        <v>-11828.279999999999</v>
      </c>
      <c r="I24" s="34"/>
      <c r="J24" s="34">
        <f t="shared" si="3"/>
        <v>0</v>
      </c>
      <c r="K24" s="36"/>
      <c r="L24" s="41">
        <f t="shared" si="7"/>
        <v>59.4092</v>
      </c>
      <c r="M24" s="87">
        <f t="shared" si="8"/>
        <v>372.0892</v>
      </c>
      <c r="N24" s="18" t="e">
        <f>M24+#REF!</f>
        <v>#REF!</v>
      </c>
      <c r="O24" s="100"/>
      <c r="P24" s="100"/>
      <c r="Q24" s="100"/>
      <c r="R24" s="100"/>
      <c r="S24" s="100"/>
      <c r="T24" s="100"/>
    </row>
    <row r="25" spans="1:20" ht="13.5">
      <c r="A25" s="86">
        <v>7</v>
      </c>
      <c r="B25" s="33">
        <f t="shared" si="0"/>
        <v>-11828.279999999999</v>
      </c>
      <c r="C25" s="45">
        <f t="shared" si="1"/>
        <v>48.3</v>
      </c>
      <c r="D25" s="41">
        <f>IF(A25=$D$9,$D$4-SUM($D$18:D24)-$D$7,F25-C25-E25)</f>
        <v>254.38</v>
      </c>
      <c r="E25" s="41">
        <f t="shared" si="4"/>
        <v>10</v>
      </c>
      <c r="F25" s="41">
        <f t="shared" si="5"/>
        <v>312.68</v>
      </c>
      <c r="G25" s="35">
        <f t="shared" si="2"/>
        <v>0</v>
      </c>
      <c r="H25" s="33">
        <f t="shared" si="6"/>
        <v>-11573.9</v>
      </c>
      <c r="I25" s="34"/>
      <c r="J25" s="34">
        <f t="shared" si="3"/>
        <v>0</v>
      </c>
      <c r="K25" s="36"/>
      <c r="L25" s="41">
        <f t="shared" si="7"/>
        <v>59.4092</v>
      </c>
      <c r="M25" s="87">
        <f t="shared" si="8"/>
        <v>372.0892</v>
      </c>
      <c r="N25" s="18" t="e">
        <f>M25+#REF!</f>
        <v>#REF!</v>
      </c>
      <c r="O25" s="100"/>
      <c r="P25" s="100"/>
      <c r="Q25" s="100"/>
      <c r="R25" s="100"/>
      <c r="S25" s="100"/>
      <c r="T25" s="100"/>
    </row>
    <row r="26" spans="1:20" ht="13.5">
      <c r="A26" s="86">
        <v>8</v>
      </c>
      <c r="B26" s="33">
        <f t="shared" si="0"/>
        <v>-11573.9</v>
      </c>
      <c r="C26" s="45">
        <f t="shared" si="1"/>
        <v>47.26</v>
      </c>
      <c r="D26" s="41">
        <f>IF(A26=$D$9,$D$4-SUM($D$18:D25)-$D$7,F26-C26-E26)</f>
        <v>255.42000000000002</v>
      </c>
      <c r="E26" s="41">
        <f t="shared" si="4"/>
        <v>10</v>
      </c>
      <c r="F26" s="41">
        <f t="shared" si="5"/>
        <v>312.68</v>
      </c>
      <c r="G26" s="35">
        <f t="shared" si="2"/>
        <v>0</v>
      </c>
      <c r="H26" s="33">
        <f t="shared" si="6"/>
        <v>-11318.48</v>
      </c>
      <c r="I26" s="34"/>
      <c r="J26" s="34">
        <f t="shared" si="3"/>
        <v>0</v>
      </c>
      <c r="K26" s="36"/>
      <c r="L26" s="41">
        <f t="shared" si="7"/>
        <v>59.4092</v>
      </c>
      <c r="M26" s="87">
        <f t="shared" si="8"/>
        <v>372.0892</v>
      </c>
      <c r="N26" s="18" t="e">
        <f>M26+#REF!</f>
        <v>#REF!</v>
      </c>
      <c r="O26" s="100"/>
      <c r="P26" s="100"/>
      <c r="Q26" s="100"/>
      <c r="R26" s="100"/>
      <c r="S26" s="100"/>
      <c r="T26" s="100"/>
    </row>
    <row r="27" spans="1:20" ht="13.5">
      <c r="A27" s="86">
        <v>9</v>
      </c>
      <c r="B27" s="33">
        <f t="shared" si="0"/>
        <v>-11318.48</v>
      </c>
      <c r="C27" s="45">
        <f t="shared" si="1"/>
        <v>46.22</v>
      </c>
      <c r="D27" s="41">
        <f>IF(A27=$D$9,$D$4-SUM($D$18:D26)-$D$7,F27-C27-E27)</f>
        <v>256.46000000000004</v>
      </c>
      <c r="E27" s="41">
        <f t="shared" si="4"/>
        <v>10</v>
      </c>
      <c r="F27" s="41">
        <f t="shared" si="5"/>
        <v>312.68</v>
      </c>
      <c r="G27" s="35">
        <f t="shared" si="2"/>
        <v>0</v>
      </c>
      <c r="H27" s="33">
        <f t="shared" si="6"/>
        <v>-11062.02</v>
      </c>
      <c r="I27" s="34"/>
      <c r="J27" s="34">
        <f t="shared" si="3"/>
        <v>0</v>
      </c>
      <c r="K27" s="36"/>
      <c r="L27" s="41">
        <f t="shared" si="7"/>
        <v>59.4092</v>
      </c>
      <c r="M27" s="87">
        <f t="shared" si="8"/>
        <v>372.0892</v>
      </c>
      <c r="N27" s="18" t="e">
        <f>M27+#REF!</f>
        <v>#REF!</v>
      </c>
      <c r="O27" s="100"/>
      <c r="P27" s="100"/>
      <c r="Q27" s="100"/>
      <c r="R27" s="100"/>
      <c r="S27" s="100"/>
      <c r="T27" s="100"/>
    </row>
    <row r="28" spans="1:20" ht="13.5">
      <c r="A28" s="86">
        <v>10</v>
      </c>
      <c r="B28" s="33">
        <f t="shared" si="0"/>
        <v>-11062.02</v>
      </c>
      <c r="C28" s="45">
        <f t="shared" si="1"/>
        <v>45.17</v>
      </c>
      <c r="D28" s="41">
        <f>IF(A28=$D$9,$D$4-SUM($D$18:D27)-$D$7,F28-C28-E28)</f>
        <v>257.51</v>
      </c>
      <c r="E28" s="41">
        <f t="shared" si="4"/>
        <v>10</v>
      </c>
      <c r="F28" s="41">
        <f t="shared" si="5"/>
        <v>312.68</v>
      </c>
      <c r="G28" s="35">
        <f t="shared" si="2"/>
        <v>0</v>
      </c>
      <c r="H28" s="33">
        <f t="shared" si="6"/>
        <v>-10804.51</v>
      </c>
      <c r="I28" s="34"/>
      <c r="J28" s="34">
        <f t="shared" si="3"/>
        <v>0</v>
      </c>
      <c r="K28" s="36"/>
      <c r="L28" s="41">
        <f t="shared" si="7"/>
        <v>59.4092</v>
      </c>
      <c r="M28" s="87">
        <f t="shared" si="8"/>
        <v>372.0892</v>
      </c>
      <c r="N28" s="18" t="e">
        <f>M28+#REF!</f>
        <v>#REF!</v>
      </c>
      <c r="O28" s="100"/>
      <c r="P28" s="100"/>
      <c r="Q28" s="100"/>
      <c r="R28" s="100"/>
      <c r="S28" s="100"/>
      <c r="T28" s="100"/>
    </row>
    <row r="29" spans="1:20" ht="13.5">
      <c r="A29" s="86">
        <v>11</v>
      </c>
      <c r="B29" s="33">
        <f t="shared" si="0"/>
        <v>-10804.51</v>
      </c>
      <c r="C29" s="45">
        <f t="shared" si="1"/>
        <v>44.12</v>
      </c>
      <c r="D29" s="41">
        <f>IF(A29=$D$9,$D$4-SUM($D$18:D28)-$D$7,F29-C29-E29)</f>
        <v>258.56</v>
      </c>
      <c r="E29" s="41">
        <f t="shared" si="4"/>
        <v>10</v>
      </c>
      <c r="F29" s="41">
        <f t="shared" si="5"/>
        <v>312.68</v>
      </c>
      <c r="G29" s="35">
        <f t="shared" si="2"/>
        <v>0</v>
      </c>
      <c r="H29" s="33">
        <f t="shared" si="6"/>
        <v>-10545.95</v>
      </c>
      <c r="I29" s="34"/>
      <c r="J29" s="34">
        <f t="shared" si="3"/>
        <v>0</v>
      </c>
      <c r="K29" s="36"/>
      <c r="L29" s="41">
        <f t="shared" si="7"/>
        <v>59.4092</v>
      </c>
      <c r="M29" s="87">
        <f t="shared" si="8"/>
        <v>372.0892</v>
      </c>
      <c r="N29" s="18" t="e">
        <f>M29+#REF!</f>
        <v>#REF!</v>
      </c>
      <c r="O29" s="100"/>
      <c r="P29" s="100"/>
      <c r="Q29" s="100"/>
      <c r="R29" s="100"/>
      <c r="S29" s="100"/>
      <c r="T29" s="100"/>
    </row>
    <row r="30" spans="1:20" ht="13.5">
      <c r="A30" s="86">
        <v>12</v>
      </c>
      <c r="B30" s="33">
        <f t="shared" si="0"/>
        <v>-10545.95</v>
      </c>
      <c r="C30" s="45">
        <f t="shared" si="1"/>
        <v>43.06</v>
      </c>
      <c r="D30" s="41">
        <f>IF(A30=$D$9,$D$4-SUM($D$18:D29)-$D$7,F30-C30-E30)</f>
        <v>259.62</v>
      </c>
      <c r="E30" s="41">
        <f t="shared" si="4"/>
        <v>10</v>
      </c>
      <c r="F30" s="41">
        <f t="shared" si="5"/>
        <v>312.68</v>
      </c>
      <c r="G30" s="35">
        <f t="shared" si="2"/>
        <v>0</v>
      </c>
      <c r="H30" s="33">
        <f t="shared" si="6"/>
        <v>-10286.33</v>
      </c>
      <c r="I30" s="34"/>
      <c r="J30" s="34">
        <f t="shared" si="3"/>
        <v>0</v>
      </c>
      <c r="K30" s="36"/>
      <c r="L30" s="41">
        <f t="shared" si="7"/>
        <v>59.4092</v>
      </c>
      <c r="M30" s="87">
        <f>M29</f>
        <v>372.0892</v>
      </c>
      <c r="N30" s="18" t="e">
        <f>M30+#REF!</f>
        <v>#REF!</v>
      </c>
      <c r="O30" s="100"/>
      <c r="P30" s="100"/>
      <c r="Q30" s="100"/>
      <c r="R30" s="100"/>
      <c r="S30" s="100"/>
      <c r="T30" s="100"/>
    </row>
    <row r="31" spans="1:20" ht="13.5">
      <c r="A31" s="86">
        <v>13</v>
      </c>
      <c r="B31" s="33">
        <f t="shared" si="0"/>
        <v>-10286.33</v>
      </c>
      <c r="C31" s="45">
        <f t="shared" si="1"/>
        <v>42</v>
      </c>
      <c r="D31" s="41">
        <f>IF(A31=$D$9,$D$4-SUM($D$18:D30)-$D$7,F31-C31-E31)</f>
        <v>260.68</v>
      </c>
      <c r="E31" s="41">
        <f>IF(D9=12,0,IF(D9&gt;12,C12))</f>
        <v>10</v>
      </c>
      <c r="F31" s="41">
        <f t="shared" si="5"/>
        <v>312.68</v>
      </c>
      <c r="G31" s="35">
        <f t="shared" si="2"/>
        <v>0</v>
      </c>
      <c r="H31" s="33">
        <f t="shared" si="6"/>
        <v>-10025.65</v>
      </c>
      <c r="I31" s="34"/>
      <c r="J31" s="34">
        <f t="shared" si="3"/>
        <v>0</v>
      </c>
      <c r="K31" s="36"/>
      <c r="L31" s="41">
        <f t="shared" si="7"/>
        <v>59.4092</v>
      </c>
      <c r="M31" s="87">
        <f aca="true" t="shared" si="9" ref="M31:M41">F31+J31+L31</f>
        <v>372.0892</v>
      </c>
      <c r="N31" s="18" t="e">
        <f>M31+#REF!</f>
        <v>#REF!</v>
      </c>
      <c r="O31" s="100"/>
      <c r="P31" s="100"/>
      <c r="Q31" s="100"/>
      <c r="R31" s="100"/>
      <c r="S31" s="100"/>
      <c r="T31" s="100"/>
    </row>
    <row r="32" spans="1:20" ht="13.5">
      <c r="A32" s="86">
        <v>14</v>
      </c>
      <c r="B32" s="33">
        <f t="shared" si="0"/>
        <v>-10025.65</v>
      </c>
      <c r="C32" s="45">
        <f t="shared" si="1"/>
        <v>40.94</v>
      </c>
      <c r="D32" s="41">
        <f>IF(A32=$D$9,$D$4-SUM($D$18:D31)-$D$7,F32-C32-E32)</f>
        <v>261.74</v>
      </c>
      <c r="E32" s="41">
        <f>IF(D9=12,0,IF(D9&gt;12,C12))</f>
        <v>10</v>
      </c>
      <c r="F32" s="41">
        <f t="shared" si="5"/>
        <v>312.68</v>
      </c>
      <c r="G32" s="35">
        <f t="shared" si="2"/>
        <v>0</v>
      </c>
      <c r="H32" s="33">
        <f t="shared" si="6"/>
        <v>-9763.91</v>
      </c>
      <c r="I32" s="34"/>
      <c r="J32" s="34">
        <f t="shared" si="3"/>
        <v>0</v>
      </c>
      <c r="K32" s="36"/>
      <c r="L32" s="41">
        <f t="shared" si="7"/>
        <v>59.4092</v>
      </c>
      <c r="M32" s="87">
        <f t="shared" si="9"/>
        <v>372.0892</v>
      </c>
      <c r="N32" s="18" t="e">
        <f>M32+#REF!</f>
        <v>#REF!</v>
      </c>
      <c r="O32" s="100"/>
      <c r="P32" s="100"/>
      <c r="Q32" s="100"/>
      <c r="R32" s="100"/>
      <c r="S32" s="100"/>
      <c r="T32" s="100"/>
    </row>
    <row r="33" spans="1:20" ht="13.5">
      <c r="A33" s="86">
        <v>15</v>
      </c>
      <c r="B33" s="33">
        <f t="shared" si="0"/>
        <v>-9763.91</v>
      </c>
      <c r="C33" s="45">
        <f t="shared" si="1"/>
        <v>39.87</v>
      </c>
      <c r="D33" s="41">
        <f>IF(A33=$D$9,$D$4-SUM($D$18:D32)-$D$7,F33-C33-E33)</f>
        <v>262.81</v>
      </c>
      <c r="E33" s="41">
        <f>IF(D9=12,0,IF(D9&gt;12,C12))</f>
        <v>10</v>
      </c>
      <c r="F33" s="41">
        <f t="shared" si="5"/>
        <v>312.68</v>
      </c>
      <c r="G33" s="35">
        <f t="shared" si="2"/>
        <v>0</v>
      </c>
      <c r="H33" s="33">
        <f t="shared" si="6"/>
        <v>-9501.1</v>
      </c>
      <c r="I33" s="34"/>
      <c r="J33" s="34">
        <f t="shared" si="3"/>
        <v>0</v>
      </c>
      <c r="K33" s="36"/>
      <c r="L33" s="41">
        <f t="shared" si="7"/>
        <v>59.4092</v>
      </c>
      <c r="M33" s="87">
        <f t="shared" si="9"/>
        <v>372.0892</v>
      </c>
      <c r="N33" s="18" t="e">
        <f>M33+#REF!</f>
        <v>#REF!</v>
      </c>
      <c r="O33" s="100"/>
      <c r="P33" s="100"/>
      <c r="Q33" s="100"/>
      <c r="R33" s="100"/>
      <c r="S33" s="100"/>
      <c r="T33" s="100"/>
    </row>
    <row r="34" spans="1:20" ht="13.5">
      <c r="A34" s="86">
        <v>16</v>
      </c>
      <c r="B34" s="33">
        <f t="shared" si="0"/>
        <v>-9501.1</v>
      </c>
      <c r="C34" s="45">
        <f t="shared" si="1"/>
        <v>38.8</v>
      </c>
      <c r="D34" s="41">
        <f>IF(A34=$D$9,$D$4-SUM($D$18:D33)-$D$7,F34-C34-E34)</f>
        <v>263.88</v>
      </c>
      <c r="E34" s="41">
        <f>IF(D9=12,0,IF(D9&gt;12,C12))</f>
        <v>10</v>
      </c>
      <c r="F34" s="41">
        <f t="shared" si="5"/>
        <v>312.68</v>
      </c>
      <c r="G34" s="35">
        <f t="shared" si="2"/>
        <v>0</v>
      </c>
      <c r="H34" s="33">
        <f t="shared" si="6"/>
        <v>-9237.220000000001</v>
      </c>
      <c r="I34" s="34"/>
      <c r="J34" s="34">
        <f t="shared" si="3"/>
        <v>0</v>
      </c>
      <c r="K34" s="36"/>
      <c r="L34" s="41">
        <f t="shared" si="7"/>
        <v>59.4092</v>
      </c>
      <c r="M34" s="87">
        <f t="shared" si="9"/>
        <v>372.0892</v>
      </c>
      <c r="N34" s="18" t="e">
        <f>M34+#REF!</f>
        <v>#REF!</v>
      </c>
      <c r="O34" s="100"/>
      <c r="P34" s="100"/>
      <c r="Q34" s="100"/>
      <c r="R34" s="100"/>
      <c r="S34" s="100"/>
      <c r="T34" s="100"/>
    </row>
    <row r="35" spans="1:20" ht="13.5">
      <c r="A35" s="86">
        <v>17</v>
      </c>
      <c r="B35" s="33">
        <f t="shared" si="0"/>
        <v>-9237.220000000001</v>
      </c>
      <c r="C35" s="45">
        <f t="shared" si="1"/>
        <v>37.72</v>
      </c>
      <c r="D35" s="41">
        <f>IF(A35=$D$9,$D$4-SUM($D$18:D34)-$D$7,F35-C35-E35)</f>
        <v>264.96000000000004</v>
      </c>
      <c r="E35" s="41">
        <f>IF(D9=12,0,IF(D9&gt;12,C12))</f>
        <v>10</v>
      </c>
      <c r="F35" s="41">
        <f t="shared" si="5"/>
        <v>312.68</v>
      </c>
      <c r="G35" s="35">
        <f t="shared" si="2"/>
        <v>0</v>
      </c>
      <c r="H35" s="33">
        <f t="shared" si="6"/>
        <v>-8972.260000000002</v>
      </c>
      <c r="I35" s="34"/>
      <c r="J35" s="34">
        <f t="shared" si="3"/>
        <v>0</v>
      </c>
      <c r="K35" s="36"/>
      <c r="L35" s="41">
        <f t="shared" si="7"/>
        <v>59.4092</v>
      </c>
      <c r="M35" s="87">
        <f t="shared" si="9"/>
        <v>372.0892</v>
      </c>
      <c r="N35" s="18" t="e">
        <f>M35+#REF!</f>
        <v>#REF!</v>
      </c>
      <c r="O35" s="100"/>
      <c r="P35" s="100"/>
      <c r="Q35" s="100"/>
      <c r="R35" s="100"/>
      <c r="S35" s="100"/>
      <c r="T35" s="100"/>
    </row>
    <row r="36" spans="1:20" ht="13.5">
      <c r="A36" s="86">
        <v>18</v>
      </c>
      <c r="B36" s="33">
        <f t="shared" si="0"/>
        <v>-8972.260000000002</v>
      </c>
      <c r="C36" s="45">
        <f t="shared" si="1"/>
        <v>36.64</v>
      </c>
      <c r="D36" s="41">
        <f>IF(A36=$D$9,$D$4-SUM($D$18:D35)-$D$7,F36-C36-E36)</f>
        <v>266.04</v>
      </c>
      <c r="E36" s="41">
        <f>IF(D9=12,0,IF(D9&gt;12,C12))</f>
        <v>10</v>
      </c>
      <c r="F36" s="41">
        <f t="shared" si="5"/>
        <v>312.68</v>
      </c>
      <c r="G36" s="35">
        <f t="shared" si="2"/>
        <v>0</v>
      </c>
      <c r="H36" s="33">
        <f t="shared" si="6"/>
        <v>-8706.220000000001</v>
      </c>
      <c r="I36" s="34"/>
      <c r="J36" s="34">
        <f t="shared" si="3"/>
        <v>0</v>
      </c>
      <c r="K36" s="36"/>
      <c r="L36" s="41">
        <f t="shared" si="7"/>
        <v>59.4092</v>
      </c>
      <c r="M36" s="87">
        <f t="shared" si="9"/>
        <v>372.0892</v>
      </c>
      <c r="N36" s="18" t="e">
        <f>M36+#REF!</f>
        <v>#REF!</v>
      </c>
      <c r="O36" s="100"/>
      <c r="P36" s="100"/>
      <c r="Q36" s="100"/>
      <c r="R36" s="100"/>
      <c r="S36" s="100"/>
      <c r="T36" s="100"/>
    </row>
    <row r="37" spans="1:20" ht="13.5">
      <c r="A37" s="86">
        <v>19</v>
      </c>
      <c r="B37" s="33">
        <f t="shared" si="0"/>
        <v>-8706.220000000001</v>
      </c>
      <c r="C37" s="45">
        <f t="shared" si="1"/>
        <v>35.55</v>
      </c>
      <c r="D37" s="41">
        <f>IF(A37=$D$9,$D$4-SUM($D$18:D36)-$D$7,F37-C37-E37)</f>
        <v>267.13</v>
      </c>
      <c r="E37" s="41">
        <f>IF(D9=12,0,IF(D9&gt;12,C12))</f>
        <v>10</v>
      </c>
      <c r="F37" s="41">
        <f t="shared" si="5"/>
        <v>312.68</v>
      </c>
      <c r="G37" s="35">
        <f t="shared" si="2"/>
        <v>0</v>
      </c>
      <c r="H37" s="33">
        <f t="shared" si="6"/>
        <v>-8439.090000000002</v>
      </c>
      <c r="I37" s="34"/>
      <c r="J37" s="34">
        <f t="shared" si="3"/>
        <v>0</v>
      </c>
      <c r="K37" s="36"/>
      <c r="L37" s="41">
        <f t="shared" si="7"/>
        <v>59.4092</v>
      </c>
      <c r="M37" s="87">
        <f t="shared" si="9"/>
        <v>372.0892</v>
      </c>
      <c r="N37" s="18" t="e">
        <f>M37+#REF!</f>
        <v>#REF!</v>
      </c>
      <c r="O37" s="100"/>
      <c r="P37" s="100"/>
      <c r="Q37" s="100"/>
      <c r="R37" s="100"/>
      <c r="S37" s="100"/>
      <c r="T37" s="100"/>
    </row>
    <row r="38" spans="1:20" ht="13.5">
      <c r="A38" s="86">
        <v>20</v>
      </c>
      <c r="B38" s="33">
        <f t="shared" si="0"/>
        <v>-8439.090000000002</v>
      </c>
      <c r="C38" s="45">
        <f t="shared" si="1"/>
        <v>34.46</v>
      </c>
      <c r="D38" s="41">
        <f>IF(A38=$D$9,$D$4-SUM($D$18:D37)-$D$7,F38-C38-E38)</f>
        <v>268.22</v>
      </c>
      <c r="E38" s="41">
        <f>IF(D9=12,0,IF(D9&gt;12,C12))</f>
        <v>10</v>
      </c>
      <c r="F38" s="41">
        <f t="shared" si="5"/>
        <v>312.68</v>
      </c>
      <c r="G38" s="35">
        <f t="shared" si="2"/>
        <v>0</v>
      </c>
      <c r="H38" s="33">
        <f t="shared" si="6"/>
        <v>-8170.870000000002</v>
      </c>
      <c r="I38" s="34"/>
      <c r="J38" s="34">
        <f t="shared" si="3"/>
        <v>0</v>
      </c>
      <c r="K38" s="36"/>
      <c r="L38" s="41">
        <f t="shared" si="7"/>
        <v>59.4092</v>
      </c>
      <c r="M38" s="87">
        <f t="shared" si="9"/>
        <v>372.0892</v>
      </c>
      <c r="N38" s="18" t="e">
        <f>M38+#REF!</f>
        <v>#REF!</v>
      </c>
      <c r="O38" s="100"/>
      <c r="P38" s="100"/>
      <c r="Q38" s="100"/>
      <c r="R38" s="100"/>
      <c r="S38" s="100"/>
      <c r="T38" s="100"/>
    </row>
    <row r="39" spans="1:20" ht="13.5">
      <c r="A39" s="86">
        <v>21</v>
      </c>
      <c r="B39" s="33">
        <f t="shared" si="0"/>
        <v>-8170.870000000002</v>
      </c>
      <c r="C39" s="45">
        <f t="shared" si="1"/>
        <v>33.36</v>
      </c>
      <c r="D39" s="41">
        <f>IF(A39=$D$9,$D$4-SUM($D$18:D38)-$D$7,F39-C39-E39)</f>
        <v>269.32</v>
      </c>
      <c r="E39" s="41">
        <f>IF(D9=12,0,IF(D9&gt;12,C12))</f>
        <v>10</v>
      </c>
      <c r="F39" s="41">
        <f t="shared" si="5"/>
        <v>312.68</v>
      </c>
      <c r="G39" s="35">
        <f t="shared" si="2"/>
        <v>0</v>
      </c>
      <c r="H39" s="33">
        <f t="shared" si="6"/>
        <v>-7901.550000000002</v>
      </c>
      <c r="I39" s="34"/>
      <c r="J39" s="34">
        <f t="shared" si="3"/>
        <v>0</v>
      </c>
      <c r="K39" s="36"/>
      <c r="L39" s="41">
        <f t="shared" si="7"/>
        <v>59.4092</v>
      </c>
      <c r="M39" s="87">
        <f t="shared" si="9"/>
        <v>372.0892</v>
      </c>
      <c r="N39" s="18" t="e">
        <f>M39+#REF!</f>
        <v>#REF!</v>
      </c>
      <c r="O39" s="100"/>
      <c r="P39" s="100"/>
      <c r="Q39" s="100"/>
      <c r="R39" s="100"/>
      <c r="S39" s="100"/>
      <c r="T39" s="100"/>
    </row>
    <row r="40" spans="1:20" ht="13.5">
      <c r="A40" s="86">
        <v>22</v>
      </c>
      <c r="B40" s="33">
        <f t="shared" si="0"/>
        <v>-7901.550000000002</v>
      </c>
      <c r="C40" s="45">
        <f t="shared" si="1"/>
        <v>32.26</v>
      </c>
      <c r="D40" s="41">
        <f>IF(A40=$D$9,$D$4-SUM($D$18:D39)-$D$7,F40-C40-E40)</f>
        <v>270.42</v>
      </c>
      <c r="E40" s="41">
        <f>IF(D9=12,0,IF(D9&gt;12,C12))</f>
        <v>10</v>
      </c>
      <c r="F40" s="41">
        <f t="shared" si="5"/>
        <v>312.68</v>
      </c>
      <c r="G40" s="35">
        <f t="shared" si="2"/>
        <v>0</v>
      </c>
      <c r="H40" s="33">
        <f t="shared" si="6"/>
        <v>-7631.130000000002</v>
      </c>
      <c r="I40" s="34"/>
      <c r="J40" s="34">
        <f t="shared" si="3"/>
        <v>0</v>
      </c>
      <c r="K40" s="36"/>
      <c r="L40" s="41">
        <f t="shared" si="7"/>
        <v>59.4092</v>
      </c>
      <c r="M40" s="87">
        <f t="shared" si="9"/>
        <v>372.0892</v>
      </c>
      <c r="N40" s="18" t="e">
        <f>M40+#REF!</f>
        <v>#REF!</v>
      </c>
      <c r="O40" s="100"/>
      <c r="P40" s="100"/>
      <c r="Q40" s="100"/>
      <c r="R40" s="100"/>
      <c r="S40" s="100"/>
      <c r="T40" s="100"/>
    </row>
    <row r="41" spans="1:20" ht="13.5">
      <c r="A41" s="86">
        <v>23</v>
      </c>
      <c r="B41" s="33">
        <f t="shared" si="0"/>
        <v>-7631.130000000002</v>
      </c>
      <c r="C41" s="45">
        <f t="shared" si="1"/>
        <v>31.16</v>
      </c>
      <c r="D41" s="41">
        <f>IF(A41=$D$9,$D$4-SUM($D$18:D40)-$D$7,F41-C41-E41)</f>
        <v>271.52</v>
      </c>
      <c r="E41" s="41">
        <f>IF(D9=12,0,IF(D9&gt;12,C12))</f>
        <v>10</v>
      </c>
      <c r="F41" s="41">
        <f t="shared" si="5"/>
        <v>312.68</v>
      </c>
      <c r="G41" s="35">
        <f t="shared" si="2"/>
        <v>0</v>
      </c>
      <c r="H41" s="33">
        <f t="shared" si="6"/>
        <v>-7359.610000000002</v>
      </c>
      <c r="I41" s="34"/>
      <c r="J41" s="34">
        <f t="shared" si="3"/>
        <v>0</v>
      </c>
      <c r="K41" s="36"/>
      <c r="L41" s="41">
        <f t="shared" si="7"/>
        <v>59.4092</v>
      </c>
      <c r="M41" s="87">
        <f t="shared" si="9"/>
        <v>372.0892</v>
      </c>
      <c r="N41" s="18" t="e">
        <f>M41+#REF!</f>
        <v>#REF!</v>
      </c>
      <c r="O41" s="100"/>
      <c r="P41" s="100"/>
      <c r="Q41" s="100"/>
      <c r="R41" s="100"/>
      <c r="S41" s="100"/>
      <c r="T41" s="100"/>
    </row>
    <row r="42" spans="1:20" ht="13.5">
      <c r="A42" s="86">
        <v>24</v>
      </c>
      <c r="B42" s="33">
        <f t="shared" si="0"/>
        <v>-7359.610000000002</v>
      </c>
      <c r="C42" s="45">
        <f t="shared" si="1"/>
        <v>30.05</v>
      </c>
      <c r="D42" s="41">
        <f>IF(A42=$D$9,$D$4-SUM($D$18:D41)-$D$7,F42-C42-E42)</f>
        <v>272.63</v>
      </c>
      <c r="E42" s="41">
        <f>IF(D9=12,0,IF(D9&gt;12,C12))</f>
        <v>10</v>
      </c>
      <c r="F42" s="41">
        <f t="shared" si="5"/>
        <v>312.68</v>
      </c>
      <c r="G42" s="35">
        <f t="shared" si="2"/>
        <v>0</v>
      </c>
      <c r="H42" s="33">
        <f t="shared" si="6"/>
        <v>-7086.980000000002</v>
      </c>
      <c r="I42" s="34"/>
      <c r="J42" s="34">
        <f t="shared" si="3"/>
        <v>0</v>
      </c>
      <c r="K42" s="36"/>
      <c r="L42" s="41">
        <f t="shared" si="7"/>
        <v>59.4092</v>
      </c>
      <c r="M42" s="87">
        <f>M41</f>
        <v>372.0892</v>
      </c>
      <c r="N42" s="18" t="e">
        <f>M42+#REF!</f>
        <v>#REF!</v>
      </c>
      <c r="O42" s="100"/>
      <c r="P42" s="100"/>
      <c r="Q42" s="100"/>
      <c r="R42" s="100"/>
      <c r="S42" s="100"/>
      <c r="T42" s="100"/>
    </row>
    <row r="43" spans="1:20" ht="13.5">
      <c r="A43" s="86">
        <v>25</v>
      </c>
      <c r="B43" s="33">
        <f t="shared" si="0"/>
        <v>-7086.980000000002</v>
      </c>
      <c r="C43" s="45">
        <f t="shared" si="1"/>
        <v>28.94</v>
      </c>
      <c r="D43" s="41">
        <f>IF(A43=$D$9,$D$4-SUM($D$18:D42)-$D$7,F43-C43-E43)</f>
        <v>273.74</v>
      </c>
      <c r="E43" s="41">
        <f>IF(D9=12,0,IF(D9=24,0,IF(D9&gt;24,C12)))</f>
        <v>10</v>
      </c>
      <c r="F43" s="41">
        <f t="shared" si="5"/>
        <v>312.68</v>
      </c>
      <c r="G43" s="35">
        <f t="shared" si="2"/>
        <v>0</v>
      </c>
      <c r="H43" s="33">
        <f t="shared" si="6"/>
        <v>-6813.2400000000025</v>
      </c>
      <c r="I43" s="34"/>
      <c r="J43" s="34">
        <f t="shared" si="3"/>
        <v>0</v>
      </c>
      <c r="K43" s="36"/>
      <c r="L43" s="41">
        <f t="shared" si="7"/>
        <v>59.4092</v>
      </c>
      <c r="M43" s="87">
        <f aca="true" t="shared" si="10" ref="M43:M53">F43+J43+L43</f>
        <v>372.0892</v>
      </c>
      <c r="N43" s="18" t="e">
        <f>M43+#REF!</f>
        <v>#REF!</v>
      </c>
      <c r="O43" s="100"/>
      <c r="P43" s="100"/>
      <c r="Q43" s="100"/>
      <c r="R43" s="100"/>
      <c r="S43" s="100"/>
      <c r="T43" s="100"/>
    </row>
    <row r="44" spans="1:20" ht="13.5">
      <c r="A44" s="86">
        <v>26</v>
      </c>
      <c r="B44" s="33">
        <f t="shared" si="0"/>
        <v>-6813.2400000000025</v>
      </c>
      <c r="C44" s="45">
        <f t="shared" si="1"/>
        <v>27.82</v>
      </c>
      <c r="D44" s="41">
        <f>IF(A44=$D$9,$D$4-SUM($D$18:D43)-$D$7,F44-C44-E44)</f>
        <v>274.86</v>
      </c>
      <c r="E44" s="41">
        <f>IF(D9=12,0,IF(D9=24,0,IF(D9&gt;24,C12)))</f>
        <v>10</v>
      </c>
      <c r="F44" s="41">
        <f t="shared" si="5"/>
        <v>312.68</v>
      </c>
      <c r="G44" s="35">
        <f t="shared" si="2"/>
        <v>0</v>
      </c>
      <c r="H44" s="33">
        <f t="shared" si="6"/>
        <v>-6538.380000000003</v>
      </c>
      <c r="I44" s="34"/>
      <c r="J44" s="34">
        <f t="shared" si="3"/>
        <v>0</v>
      </c>
      <c r="K44" s="36"/>
      <c r="L44" s="41">
        <f t="shared" si="7"/>
        <v>59.4092</v>
      </c>
      <c r="M44" s="87">
        <f t="shared" si="10"/>
        <v>372.0892</v>
      </c>
      <c r="N44" s="18" t="e">
        <f>M44+#REF!</f>
        <v>#REF!</v>
      </c>
      <c r="O44" s="100"/>
      <c r="P44" s="100"/>
      <c r="Q44" s="100"/>
      <c r="R44" s="100"/>
      <c r="S44" s="100"/>
      <c r="T44" s="100"/>
    </row>
    <row r="45" spans="1:20" ht="13.5">
      <c r="A45" s="86">
        <v>27</v>
      </c>
      <c r="B45" s="33">
        <f t="shared" si="0"/>
        <v>-6538.380000000003</v>
      </c>
      <c r="C45" s="45">
        <f t="shared" si="1"/>
        <v>26.7</v>
      </c>
      <c r="D45" s="41">
        <f>IF(A45=$D$9,$D$4-SUM($D$18:D44)-$D$7,F45-C45-E45)</f>
        <v>275.98</v>
      </c>
      <c r="E45" s="41">
        <f>IF(D9=12,0,IF(D9=24,0,IF(D9&gt;24,C12)))</f>
        <v>10</v>
      </c>
      <c r="F45" s="41">
        <f t="shared" si="5"/>
        <v>312.68</v>
      </c>
      <c r="G45" s="35">
        <f t="shared" si="2"/>
        <v>0</v>
      </c>
      <c r="H45" s="33">
        <f t="shared" si="6"/>
        <v>-6262.400000000003</v>
      </c>
      <c r="I45" s="34"/>
      <c r="J45" s="34">
        <f t="shared" si="3"/>
        <v>0</v>
      </c>
      <c r="K45" s="36"/>
      <c r="L45" s="41">
        <f t="shared" si="7"/>
        <v>59.4092</v>
      </c>
      <c r="M45" s="87">
        <f t="shared" si="10"/>
        <v>372.0892</v>
      </c>
      <c r="N45" s="18" t="e">
        <f>M45+#REF!</f>
        <v>#REF!</v>
      </c>
      <c r="O45" s="100"/>
      <c r="P45" s="100"/>
      <c r="Q45" s="100"/>
      <c r="R45" s="100"/>
      <c r="S45" s="100"/>
      <c r="T45" s="100"/>
    </row>
    <row r="46" spans="1:20" ht="13.5">
      <c r="A46" s="86">
        <v>28</v>
      </c>
      <c r="B46" s="33">
        <f t="shared" si="0"/>
        <v>-6262.400000000003</v>
      </c>
      <c r="C46" s="45">
        <f t="shared" si="1"/>
        <v>25.57</v>
      </c>
      <c r="D46" s="41">
        <f>IF(A46=$D$9,$D$4-SUM($D$18:D45)-$D$7,F46-C46-E46)</f>
        <v>277.11</v>
      </c>
      <c r="E46" s="41">
        <f>IF(D9=12,0,IF(D9=24,0,IF(D9&gt;24,C12)))</f>
        <v>10</v>
      </c>
      <c r="F46" s="41">
        <f t="shared" si="5"/>
        <v>312.68</v>
      </c>
      <c r="G46" s="35">
        <f t="shared" si="2"/>
        <v>0</v>
      </c>
      <c r="H46" s="33">
        <f t="shared" si="6"/>
        <v>-5985.290000000004</v>
      </c>
      <c r="I46" s="34"/>
      <c r="J46" s="34">
        <f t="shared" si="3"/>
        <v>0</v>
      </c>
      <c r="K46" s="36"/>
      <c r="L46" s="41">
        <f t="shared" si="7"/>
        <v>59.4092</v>
      </c>
      <c r="M46" s="87">
        <f t="shared" si="10"/>
        <v>372.0892</v>
      </c>
      <c r="N46" s="18" t="e">
        <f>M46+#REF!</f>
        <v>#REF!</v>
      </c>
      <c r="O46" s="100"/>
      <c r="P46" s="100"/>
      <c r="Q46" s="100"/>
      <c r="R46" s="100"/>
      <c r="S46" s="100"/>
      <c r="T46" s="100"/>
    </row>
    <row r="47" spans="1:20" ht="13.5">
      <c r="A47" s="86">
        <v>29</v>
      </c>
      <c r="B47" s="33">
        <f t="shared" si="0"/>
        <v>-5985.290000000004</v>
      </c>
      <c r="C47" s="45">
        <f t="shared" si="1"/>
        <v>24.44</v>
      </c>
      <c r="D47" s="41">
        <f>IF(A47=$D$9,$D$4-SUM($D$18:D46)-$D$7,F47-C47-E47)</f>
        <v>278.24</v>
      </c>
      <c r="E47" s="41">
        <f>IF(D9=12,0,IF(D9=24,0,IF(D9&gt;24,C12)))</f>
        <v>10</v>
      </c>
      <c r="F47" s="41">
        <f t="shared" si="5"/>
        <v>312.68</v>
      </c>
      <c r="G47" s="35">
        <f t="shared" si="2"/>
        <v>0</v>
      </c>
      <c r="H47" s="33">
        <f t="shared" si="6"/>
        <v>-5707.050000000004</v>
      </c>
      <c r="I47" s="34"/>
      <c r="J47" s="34">
        <f t="shared" si="3"/>
        <v>0</v>
      </c>
      <c r="K47" s="36"/>
      <c r="L47" s="41">
        <f t="shared" si="7"/>
        <v>59.4092</v>
      </c>
      <c r="M47" s="87">
        <f t="shared" si="10"/>
        <v>372.0892</v>
      </c>
      <c r="N47" s="18" t="e">
        <f>M47+#REF!</f>
        <v>#REF!</v>
      </c>
      <c r="O47" s="100"/>
      <c r="P47" s="100"/>
      <c r="Q47" s="100"/>
      <c r="R47" s="100"/>
      <c r="S47" s="100"/>
      <c r="T47" s="100"/>
    </row>
    <row r="48" spans="1:20" ht="13.5">
      <c r="A48" s="86">
        <v>30</v>
      </c>
      <c r="B48" s="33">
        <f t="shared" si="0"/>
        <v>-5707.050000000004</v>
      </c>
      <c r="C48" s="45">
        <f t="shared" si="1"/>
        <v>23.3</v>
      </c>
      <c r="D48" s="41">
        <f>IF(A48=$D$9,$D$4-SUM($D$18:D47)-$D$7,F48-C48-E48)</f>
        <v>279.38</v>
      </c>
      <c r="E48" s="41">
        <f>IF(D9=12,0,IF(D9=24,0,IF(D9&gt;24,C12)))</f>
        <v>10</v>
      </c>
      <c r="F48" s="41">
        <f t="shared" si="5"/>
        <v>312.68</v>
      </c>
      <c r="G48" s="35">
        <f t="shared" si="2"/>
        <v>0</v>
      </c>
      <c r="H48" s="33">
        <f t="shared" si="6"/>
        <v>-5427.670000000004</v>
      </c>
      <c r="I48" s="34"/>
      <c r="J48" s="34">
        <f t="shared" si="3"/>
        <v>0</v>
      </c>
      <c r="K48" s="36"/>
      <c r="L48" s="41">
        <f t="shared" si="7"/>
        <v>59.4092</v>
      </c>
      <c r="M48" s="87">
        <f t="shared" si="10"/>
        <v>372.0892</v>
      </c>
      <c r="N48" s="18" t="e">
        <f>M48+#REF!</f>
        <v>#REF!</v>
      </c>
      <c r="O48" s="100"/>
      <c r="P48" s="100"/>
      <c r="Q48" s="100"/>
      <c r="R48" s="100"/>
      <c r="S48" s="100"/>
      <c r="T48" s="100"/>
    </row>
    <row r="49" spans="1:20" ht="13.5">
      <c r="A49" s="86">
        <v>31</v>
      </c>
      <c r="B49" s="33">
        <f t="shared" si="0"/>
        <v>-5427.670000000004</v>
      </c>
      <c r="C49" s="45">
        <f t="shared" si="1"/>
        <v>22.16</v>
      </c>
      <c r="D49" s="41">
        <f>IF(A49=$D$9,$D$4-SUM($D$18:D48)-$D$7,F49-C49-E49)</f>
        <v>280.52</v>
      </c>
      <c r="E49" s="41">
        <f>IF(D9=12,0,IF(D9=24,0,IF(D9&gt;24,C12)))</f>
        <v>10</v>
      </c>
      <c r="F49" s="41">
        <f t="shared" si="5"/>
        <v>312.68</v>
      </c>
      <c r="G49" s="35">
        <f t="shared" si="2"/>
        <v>0</v>
      </c>
      <c r="H49" s="33">
        <f t="shared" si="6"/>
        <v>-5147.150000000003</v>
      </c>
      <c r="I49" s="34"/>
      <c r="J49" s="34">
        <f t="shared" si="3"/>
        <v>0</v>
      </c>
      <c r="K49" s="36"/>
      <c r="L49" s="41">
        <f t="shared" si="7"/>
        <v>59.4092</v>
      </c>
      <c r="M49" s="87">
        <f t="shared" si="10"/>
        <v>372.0892</v>
      </c>
      <c r="N49" s="18" t="e">
        <f>M49+#REF!</f>
        <v>#REF!</v>
      </c>
      <c r="O49" s="100"/>
      <c r="P49" s="100"/>
      <c r="Q49" s="100"/>
      <c r="R49" s="100"/>
      <c r="S49" s="100"/>
      <c r="T49" s="100"/>
    </row>
    <row r="50" spans="1:20" ht="13.5">
      <c r="A50" s="86">
        <v>32</v>
      </c>
      <c r="B50" s="33">
        <f t="shared" si="0"/>
        <v>-5147.150000000003</v>
      </c>
      <c r="C50" s="44">
        <f>-ROUND($B50*$C$10/12,3)</f>
        <v>21.018</v>
      </c>
      <c r="D50" s="41">
        <f>IF(A50=$D$9,$D$4-SUM($D$18:D49)-$D$7,F50-C50-E50)</f>
        <v>281.66200000000003</v>
      </c>
      <c r="E50" s="41">
        <f>IF(D9=12,0,IF(D9=24,0,IF(D9&gt;24,C12)))</f>
        <v>10</v>
      </c>
      <c r="F50" s="41">
        <f t="shared" si="5"/>
        <v>312.68</v>
      </c>
      <c r="G50" s="35">
        <f t="shared" si="2"/>
        <v>0</v>
      </c>
      <c r="H50" s="33">
        <f t="shared" si="6"/>
        <v>-4865.488000000003</v>
      </c>
      <c r="I50" s="34"/>
      <c r="J50" s="34">
        <f t="shared" si="3"/>
        <v>0</v>
      </c>
      <c r="K50" s="36"/>
      <c r="L50" s="41">
        <f t="shared" si="7"/>
        <v>59.4092</v>
      </c>
      <c r="M50" s="87">
        <f t="shared" si="10"/>
        <v>372.0892</v>
      </c>
      <c r="N50" s="18" t="e">
        <f>M50+#REF!</f>
        <v>#REF!</v>
      </c>
      <c r="O50" s="100"/>
      <c r="P50" s="100"/>
      <c r="Q50" s="100"/>
      <c r="R50" s="100"/>
      <c r="S50" s="100"/>
      <c r="T50" s="100"/>
    </row>
    <row r="51" spans="1:20" ht="13.5">
      <c r="A51" s="86">
        <v>33</v>
      </c>
      <c r="B51" s="33">
        <f t="shared" si="0"/>
        <v>-4865.488000000003</v>
      </c>
      <c r="C51" s="44">
        <f>-ROUND($B51*$C$10/12,3)</f>
        <v>19.867</v>
      </c>
      <c r="D51" s="41">
        <f>IF(A51=$D$9,$D$4-SUM($D$18:D50)-$D$7,F51-C51-E51)</f>
        <v>282.813</v>
      </c>
      <c r="E51" s="41">
        <f>IF(D9=12,0,IF(D9=24,0,IF(D9&gt;24,C12)))</f>
        <v>10</v>
      </c>
      <c r="F51" s="41">
        <f t="shared" si="5"/>
        <v>312.68</v>
      </c>
      <c r="G51" s="35">
        <f t="shared" si="2"/>
        <v>0</v>
      </c>
      <c r="H51" s="33">
        <f t="shared" si="6"/>
        <v>-4582.675000000003</v>
      </c>
      <c r="I51" s="34"/>
      <c r="J51" s="34">
        <f t="shared" si="3"/>
        <v>0</v>
      </c>
      <c r="K51" s="36"/>
      <c r="L51" s="41">
        <f t="shared" si="7"/>
        <v>59.4092</v>
      </c>
      <c r="M51" s="87">
        <f t="shared" si="10"/>
        <v>372.0892</v>
      </c>
      <c r="N51" s="18" t="e">
        <f>M51+#REF!</f>
        <v>#REF!</v>
      </c>
      <c r="O51" s="100"/>
      <c r="P51" s="100"/>
      <c r="Q51" s="100"/>
      <c r="R51" s="100"/>
      <c r="S51" s="100"/>
      <c r="T51" s="100"/>
    </row>
    <row r="52" spans="1:20" ht="13.5">
      <c r="A52" s="86">
        <v>34</v>
      </c>
      <c r="B52" s="33">
        <f t="shared" si="0"/>
        <v>-4582.675000000003</v>
      </c>
      <c r="C52" s="44">
        <f aca="true" t="shared" si="11" ref="C52:C78">-ROUND($B52*$C$10/12,2)</f>
        <v>18.71</v>
      </c>
      <c r="D52" s="41">
        <f>IF(A52=$D$9,$D$4-SUM($D$18:D51)-$D$7,F52-C52-E52)</f>
        <v>283.97</v>
      </c>
      <c r="E52" s="41">
        <f>IF(D9=12,0,IF(D9=24,0,IF(D9&gt;24,C12)))</f>
        <v>10</v>
      </c>
      <c r="F52" s="41">
        <f t="shared" si="5"/>
        <v>312.68</v>
      </c>
      <c r="G52" s="35">
        <f t="shared" si="2"/>
        <v>0</v>
      </c>
      <c r="H52" s="33">
        <f t="shared" si="6"/>
        <v>-4298.705000000003</v>
      </c>
      <c r="I52" s="34"/>
      <c r="J52" s="34">
        <f t="shared" si="3"/>
        <v>0</v>
      </c>
      <c r="K52" s="36"/>
      <c r="L52" s="41">
        <f t="shared" si="7"/>
        <v>59.4092</v>
      </c>
      <c r="M52" s="87">
        <f t="shared" si="10"/>
        <v>372.0892</v>
      </c>
      <c r="N52" s="18" t="e">
        <f>M52+#REF!</f>
        <v>#REF!</v>
      </c>
      <c r="O52" s="100"/>
      <c r="P52" s="100"/>
      <c r="Q52" s="100"/>
      <c r="R52" s="100"/>
      <c r="S52" s="100"/>
      <c r="T52" s="100"/>
    </row>
    <row r="53" spans="1:20" ht="13.5">
      <c r="A53" s="86">
        <v>35</v>
      </c>
      <c r="B53" s="33">
        <f t="shared" si="0"/>
        <v>-4298.705000000003</v>
      </c>
      <c r="C53" s="44">
        <f t="shared" si="11"/>
        <v>17.55</v>
      </c>
      <c r="D53" s="41">
        <f>IF(A53=$D$9,$D$4-SUM($D$18:D52)-$D$7,F53-C53-E53)</f>
        <v>285.13</v>
      </c>
      <c r="E53" s="41">
        <f>IF(D9=12,0,IF(D9=24,0,IF(D9&gt;24,C12)))</f>
        <v>10</v>
      </c>
      <c r="F53" s="41">
        <f t="shared" si="5"/>
        <v>312.68</v>
      </c>
      <c r="G53" s="35">
        <f t="shared" si="2"/>
        <v>0</v>
      </c>
      <c r="H53" s="33">
        <f t="shared" si="6"/>
        <v>-4013.5750000000025</v>
      </c>
      <c r="I53" s="34"/>
      <c r="J53" s="34">
        <f t="shared" si="3"/>
        <v>0</v>
      </c>
      <c r="K53" s="36"/>
      <c r="L53" s="41">
        <f t="shared" si="7"/>
        <v>59.4092</v>
      </c>
      <c r="M53" s="87">
        <f t="shared" si="10"/>
        <v>372.0892</v>
      </c>
      <c r="N53" s="18" t="e">
        <f>M53+#REF!</f>
        <v>#REF!</v>
      </c>
      <c r="O53" s="100"/>
      <c r="P53" s="100"/>
      <c r="Q53" s="100"/>
      <c r="R53" s="100"/>
      <c r="S53" s="100"/>
      <c r="T53" s="100"/>
    </row>
    <row r="54" spans="1:20" ht="13.5">
      <c r="A54" s="86">
        <v>36</v>
      </c>
      <c r="B54" s="33">
        <f t="shared" si="0"/>
        <v>-4013.5750000000025</v>
      </c>
      <c r="C54" s="44">
        <f t="shared" si="11"/>
        <v>16.39</v>
      </c>
      <c r="D54" s="41">
        <f>IF(A54=$D$9,$D$4-SUM($D$18:D53)-$D$7,F54-C54-E54)</f>
        <v>286.29</v>
      </c>
      <c r="E54" s="41">
        <f>IF(D9=12,0,IF(D9=24,0,IF(D9&gt;24,C12)))</f>
        <v>10</v>
      </c>
      <c r="F54" s="41">
        <f t="shared" si="5"/>
        <v>312.68</v>
      </c>
      <c r="G54" s="35">
        <f t="shared" si="2"/>
        <v>0</v>
      </c>
      <c r="H54" s="33">
        <f t="shared" si="6"/>
        <v>-3727.2850000000026</v>
      </c>
      <c r="I54" s="34"/>
      <c r="J54" s="34">
        <f t="shared" si="3"/>
        <v>0</v>
      </c>
      <c r="K54" s="36"/>
      <c r="L54" s="41">
        <f t="shared" si="7"/>
        <v>59.4092</v>
      </c>
      <c r="M54" s="87">
        <f>M53</f>
        <v>372.0892</v>
      </c>
      <c r="N54" s="18" t="e">
        <f>M54+#REF!</f>
        <v>#REF!</v>
      </c>
      <c r="O54" s="100"/>
      <c r="P54" s="100"/>
      <c r="Q54" s="100"/>
      <c r="R54" s="100"/>
      <c r="S54" s="100"/>
      <c r="T54" s="100"/>
    </row>
    <row r="55" spans="1:20" ht="13.5">
      <c r="A55" s="86">
        <v>37</v>
      </c>
      <c r="B55" s="33">
        <f>H54</f>
        <v>-3727.2850000000026</v>
      </c>
      <c r="C55" s="45">
        <f t="shared" si="11"/>
        <v>15.22</v>
      </c>
      <c r="D55" s="41">
        <f>IF(A55=$D$9,$D$4-SUM($D$18:D54)-$D$7,F55-C55-E55)</f>
        <v>287.46</v>
      </c>
      <c r="E55" s="41">
        <f>IF(D9=12,0,IF(D9=24,0,IF(D9=36,0,IF(D9&gt;36,C12))))</f>
        <v>10</v>
      </c>
      <c r="F55" s="41">
        <f t="shared" si="5"/>
        <v>312.68</v>
      </c>
      <c r="G55" s="35">
        <f t="shared" si="2"/>
        <v>0</v>
      </c>
      <c r="H55" s="33">
        <f t="shared" si="6"/>
        <v>-3439.8250000000025</v>
      </c>
      <c r="I55" s="34"/>
      <c r="J55" s="34">
        <f t="shared" si="3"/>
        <v>0</v>
      </c>
      <c r="K55" s="36"/>
      <c r="L55" s="41">
        <f t="shared" si="7"/>
        <v>59.4092</v>
      </c>
      <c r="M55" s="87">
        <f aca="true" t="shared" si="12" ref="M55:M65">F55+J55+L55</f>
        <v>372.0892</v>
      </c>
      <c r="N55" s="18" t="e">
        <f>M55+#REF!</f>
        <v>#REF!</v>
      </c>
      <c r="O55" s="100"/>
      <c r="P55" s="100"/>
      <c r="Q55" s="100"/>
      <c r="R55" s="100"/>
      <c r="S55" s="100"/>
      <c r="T55" s="100"/>
    </row>
    <row r="56" spans="1:20" ht="13.5">
      <c r="A56" s="86">
        <v>38</v>
      </c>
      <c r="B56" s="33">
        <f t="shared" si="0"/>
        <v>-3439.8250000000025</v>
      </c>
      <c r="C56" s="45">
        <f t="shared" si="11"/>
        <v>14.05</v>
      </c>
      <c r="D56" s="41">
        <f>IF(A56=$D$9,$D$4-SUM($D$18:D55)-$D$7,F56-C56-E56)</f>
        <v>288.63</v>
      </c>
      <c r="E56" s="41">
        <f>IF(D9=12,0,IF(D9=24,0,IF(D9=36,0,IF(D9&gt;36,C12))))</f>
        <v>10</v>
      </c>
      <c r="F56" s="41">
        <f t="shared" si="5"/>
        <v>312.68</v>
      </c>
      <c r="G56" s="35">
        <f t="shared" si="2"/>
        <v>0</v>
      </c>
      <c r="H56" s="33">
        <f t="shared" si="6"/>
        <v>-3151.1950000000024</v>
      </c>
      <c r="I56" s="34"/>
      <c r="J56" s="34">
        <f t="shared" si="3"/>
        <v>0</v>
      </c>
      <c r="K56" s="36"/>
      <c r="L56" s="41">
        <f t="shared" si="7"/>
        <v>59.4092</v>
      </c>
      <c r="M56" s="87">
        <f t="shared" si="12"/>
        <v>372.0892</v>
      </c>
      <c r="N56" s="18" t="e">
        <f>M56+#REF!</f>
        <v>#REF!</v>
      </c>
      <c r="O56" s="100"/>
      <c r="P56" s="100"/>
      <c r="Q56" s="100"/>
      <c r="R56" s="100"/>
      <c r="S56" s="100"/>
      <c r="T56" s="100"/>
    </row>
    <row r="57" spans="1:20" ht="13.5">
      <c r="A57" s="86">
        <v>39</v>
      </c>
      <c r="B57" s="33">
        <f t="shared" si="0"/>
        <v>-3151.1950000000024</v>
      </c>
      <c r="C57" s="45">
        <f t="shared" si="11"/>
        <v>12.87</v>
      </c>
      <c r="D57" s="41">
        <f>IF(A57=$D$9,$D$4-SUM($D$18:D56)-$D$7,F57-C57-E57)</f>
        <v>289.81</v>
      </c>
      <c r="E57" s="41">
        <f>IF(D9=12,0,IF(D9=24,0,IF(D9=36,0,IF(D9&gt;36,C12))))</f>
        <v>10</v>
      </c>
      <c r="F57" s="41">
        <f t="shared" si="5"/>
        <v>312.68</v>
      </c>
      <c r="G57" s="35">
        <f t="shared" si="2"/>
        <v>0</v>
      </c>
      <c r="H57" s="33">
        <f t="shared" si="6"/>
        <v>-2861.3850000000025</v>
      </c>
      <c r="I57" s="34"/>
      <c r="J57" s="34">
        <f t="shared" si="3"/>
        <v>0</v>
      </c>
      <c r="K57" s="36"/>
      <c r="L57" s="41">
        <f t="shared" si="7"/>
        <v>59.4092</v>
      </c>
      <c r="M57" s="87">
        <f t="shared" si="12"/>
        <v>372.0892</v>
      </c>
      <c r="N57" s="18" t="e">
        <f>M57+#REF!</f>
        <v>#REF!</v>
      </c>
      <c r="O57" s="100"/>
      <c r="P57" s="100"/>
      <c r="Q57" s="100"/>
      <c r="R57" s="100"/>
      <c r="S57" s="100"/>
      <c r="T57" s="100"/>
    </row>
    <row r="58" spans="1:20" ht="13.5">
      <c r="A58" s="86">
        <v>40</v>
      </c>
      <c r="B58" s="33">
        <f t="shared" si="0"/>
        <v>-2861.3850000000025</v>
      </c>
      <c r="C58" s="45">
        <f t="shared" si="11"/>
        <v>11.68</v>
      </c>
      <c r="D58" s="41">
        <f>IF(A58=$D$9,$D$4-SUM($D$18:D57)-$D$7,F58-C58-E58)</f>
        <v>291</v>
      </c>
      <c r="E58" s="41">
        <f>IF(D9=12,0,IF(D9=24,0,IF(D9=36,0,IF(D9&gt;36,C12))))</f>
        <v>10</v>
      </c>
      <c r="F58" s="41">
        <f t="shared" si="5"/>
        <v>312.68</v>
      </c>
      <c r="G58" s="35">
        <f t="shared" si="2"/>
        <v>0</v>
      </c>
      <c r="H58" s="33">
        <f t="shared" si="6"/>
        <v>-2570.3850000000025</v>
      </c>
      <c r="I58" s="34"/>
      <c r="J58" s="34">
        <f t="shared" si="3"/>
        <v>0</v>
      </c>
      <c r="K58" s="36"/>
      <c r="L58" s="41">
        <f t="shared" si="7"/>
        <v>59.4092</v>
      </c>
      <c r="M58" s="87">
        <f t="shared" si="12"/>
        <v>372.0892</v>
      </c>
      <c r="N58" s="18" t="e">
        <f>M58+#REF!</f>
        <v>#REF!</v>
      </c>
      <c r="O58" s="100"/>
      <c r="P58" s="100"/>
      <c r="Q58" s="100"/>
      <c r="R58" s="100"/>
      <c r="S58" s="100"/>
      <c r="T58" s="100"/>
    </row>
    <row r="59" spans="1:20" ht="13.5">
      <c r="A59" s="86">
        <v>41</v>
      </c>
      <c r="B59" s="33">
        <f t="shared" si="0"/>
        <v>-2570.3850000000025</v>
      </c>
      <c r="C59" s="45">
        <f t="shared" si="11"/>
        <v>10.5</v>
      </c>
      <c r="D59" s="41">
        <f>IF(A59=$D$9,$D$4-SUM($D$18:D58)-$D$7,F59-C59-E59)</f>
        <v>292.18</v>
      </c>
      <c r="E59" s="41">
        <f>IF(D9=12,0,IF(D9=24,0,IF(D9=36,0,IF(D9&gt;36,C12))))</f>
        <v>10</v>
      </c>
      <c r="F59" s="41">
        <f t="shared" si="5"/>
        <v>312.68</v>
      </c>
      <c r="G59" s="35">
        <f t="shared" si="2"/>
        <v>0</v>
      </c>
      <c r="H59" s="33">
        <f t="shared" si="6"/>
        <v>-2278.2050000000027</v>
      </c>
      <c r="I59" s="34"/>
      <c r="J59" s="34">
        <f t="shared" si="3"/>
        <v>0</v>
      </c>
      <c r="K59" s="36"/>
      <c r="L59" s="41">
        <f t="shared" si="7"/>
        <v>59.4092</v>
      </c>
      <c r="M59" s="87">
        <f t="shared" si="12"/>
        <v>372.0892</v>
      </c>
      <c r="N59" s="18" t="e">
        <f>M59+#REF!</f>
        <v>#REF!</v>
      </c>
      <c r="O59" s="100"/>
      <c r="P59" s="100"/>
      <c r="Q59" s="100"/>
      <c r="R59" s="100"/>
      <c r="S59" s="100"/>
      <c r="T59" s="100"/>
    </row>
    <row r="60" spans="1:20" ht="13.5">
      <c r="A60" s="86">
        <v>42</v>
      </c>
      <c r="B60" s="33">
        <f t="shared" si="0"/>
        <v>-2278.2050000000027</v>
      </c>
      <c r="C60" s="45">
        <f t="shared" si="11"/>
        <v>9.3</v>
      </c>
      <c r="D60" s="41">
        <f>IF(A60=$D$9,$D$4-SUM($D$18:D59)-$D$7,F60-C60-E60)</f>
        <v>293.38</v>
      </c>
      <c r="E60" s="41">
        <f>IF(D9=12,0,IF(D9=24,0,IF(D9=36,0,IF(D9&gt;36,C12))))</f>
        <v>10</v>
      </c>
      <c r="F60" s="41">
        <f t="shared" si="5"/>
        <v>312.68</v>
      </c>
      <c r="G60" s="35">
        <f t="shared" si="2"/>
        <v>0</v>
      </c>
      <c r="H60" s="33">
        <f t="shared" si="6"/>
        <v>-1984.8250000000025</v>
      </c>
      <c r="I60" s="34"/>
      <c r="J60" s="34">
        <f t="shared" si="3"/>
        <v>0</v>
      </c>
      <c r="K60" s="36"/>
      <c r="L60" s="41">
        <f t="shared" si="7"/>
        <v>59.4092</v>
      </c>
      <c r="M60" s="87">
        <f t="shared" si="12"/>
        <v>372.0892</v>
      </c>
      <c r="N60" s="18" t="e">
        <f>M60+#REF!</f>
        <v>#REF!</v>
      </c>
      <c r="O60" s="100"/>
      <c r="P60" s="100"/>
      <c r="Q60" s="100"/>
      <c r="R60" s="100"/>
      <c r="S60" s="100"/>
      <c r="T60" s="100"/>
    </row>
    <row r="61" spans="1:20" ht="13.5">
      <c r="A61" s="86">
        <v>43</v>
      </c>
      <c r="B61" s="33">
        <f t="shared" si="0"/>
        <v>-1984.8250000000025</v>
      </c>
      <c r="C61" s="45">
        <f t="shared" si="11"/>
        <v>8.1</v>
      </c>
      <c r="D61" s="41">
        <f>IF(A61=$D$9,$D$4-SUM($D$18:D60)-$D$7,F61-C61-E61)</f>
        <v>294.58</v>
      </c>
      <c r="E61" s="41">
        <f>IF(D9=12,0,IF(D9=24,0,IF(D9=36,0,IF(D9&gt;36,C12))))</f>
        <v>10</v>
      </c>
      <c r="F61" s="41">
        <f t="shared" si="5"/>
        <v>312.68</v>
      </c>
      <c r="G61" s="35">
        <f t="shared" si="2"/>
        <v>0</v>
      </c>
      <c r="H61" s="33">
        <f t="shared" si="6"/>
        <v>-1690.2450000000026</v>
      </c>
      <c r="I61" s="34"/>
      <c r="J61" s="34">
        <f t="shared" si="3"/>
        <v>0</v>
      </c>
      <c r="K61" s="36"/>
      <c r="L61" s="41">
        <f t="shared" si="7"/>
        <v>59.4092</v>
      </c>
      <c r="M61" s="87">
        <f t="shared" si="12"/>
        <v>372.0892</v>
      </c>
      <c r="N61" s="18" t="e">
        <f>M61+#REF!</f>
        <v>#REF!</v>
      </c>
      <c r="O61" s="100"/>
      <c r="P61" s="100"/>
      <c r="Q61" s="100"/>
      <c r="R61" s="100"/>
      <c r="S61" s="100"/>
      <c r="T61" s="100"/>
    </row>
    <row r="62" spans="1:20" ht="13.5">
      <c r="A62" s="86">
        <v>44</v>
      </c>
      <c r="B62" s="33">
        <f t="shared" si="0"/>
        <v>-1690.2450000000026</v>
      </c>
      <c r="C62" s="45">
        <f t="shared" si="11"/>
        <v>6.9</v>
      </c>
      <c r="D62" s="41">
        <f>IF(A62=$D$9,$D$4-SUM($D$18:D61)-$D$7,F62-C62-E62)</f>
        <v>295.78000000000003</v>
      </c>
      <c r="E62" s="41">
        <f>IF(D9=12,0,IF(D9=24,0,IF(D9=36,0,IF(D9&gt;36,C12))))</f>
        <v>10</v>
      </c>
      <c r="F62" s="41">
        <f t="shared" si="5"/>
        <v>312.68</v>
      </c>
      <c r="G62" s="35">
        <f t="shared" si="2"/>
        <v>0</v>
      </c>
      <c r="H62" s="33">
        <f t="shared" si="6"/>
        <v>-1394.4650000000026</v>
      </c>
      <c r="I62" s="34"/>
      <c r="J62" s="34">
        <f t="shared" si="3"/>
        <v>0</v>
      </c>
      <c r="K62" s="36"/>
      <c r="L62" s="41">
        <f t="shared" si="7"/>
        <v>59.4092</v>
      </c>
      <c r="M62" s="87">
        <f t="shared" si="12"/>
        <v>372.0892</v>
      </c>
      <c r="N62" s="18" t="e">
        <f>M62+#REF!</f>
        <v>#REF!</v>
      </c>
      <c r="O62" s="100"/>
      <c r="P62" s="100"/>
      <c r="Q62" s="100"/>
      <c r="R62" s="100"/>
      <c r="S62" s="100"/>
      <c r="T62" s="100"/>
    </row>
    <row r="63" spans="1:20" ht="13.5">
      <c r="A63" s="86">
        <v>45</v>
      </c>
      <c r="B63" s="33">
        <f t="shared" si="0"/>
        <v>-1394.4650000000026</v>
      </c>
      <c r="C63" s="45">
        <f t="shared" si="11"/>
        <v>5.69</v>
      </c>
      <c r="D63" s="41">
        <f>IF(A63=$D$9,$D$4-SUM($D$18:D62)-$D$7,F63-C63-E63)</f>
        <v>296.99</v>
      </c>
      <c r="E63" s="41">
        <f>IF(D9=12,0,IF(D9=24,0,IF(D9=36,0,IF(D9&gt;36,C12))))</f>
        <v>10</v>
      </c>
      <c r="F63" s="41">
        <f t="shared" si="5"/>
        <v>312.68</v>
      </c>
      <c r="G63" s="35">
        <f t="shared" si="2"/>
        <v>0</v>
      </c>
      <c r="H63" s="33">
        <f t="shared" si="6"/>
        <v>-1097.4750000000026</v>
      </c>
      <c r="I63" s="34"/>
      <c r="J63" s="34">
        <f t="shared" si="3"/>
        <v>0</v>
      </c>
      <c r="K63" s="36"/>
      <c r="L63" s="41">
        <f t="shared" si="7"/>
        <v>59.4092</v>
      </c>
      <c r="M63" s="87">
        <f t="shared" si="12"/>
        <v>372.0892</v>
      </c>
      <c r="N63" s="18" t="e">
        <f>M63+#REF!</f>
        <v>#REF!</v>
      </c>
      <c r="O63" s="100"/>
      <c r="P63" s="100"/>
      <c r="Q63" s="100"/>
      <c r="R63" s="100"/>
      <c r="S63" s="100"/>
      <c r="T63" s="100"/>
    </row>
    <row r="64" spans="1:20" ht="13.5">
      <c r="A64" s="86">
        <v>46</v>
      </c>
      <c r="B64" s="33">
        <f t="shared" si="0"/>
        <v>-1097.4750000000026</v>
      </c>
      <c r="C64" s="45">
        <f t="shared" si="11"/>
        <v>4.48</v>
      </c>
      <c r="D64" s="41">
        <f>IF(A64=$D$9,$D$4-SUM($D$18:D63)-$D$7,F64-C64-E64)</f>
        <v>298.2</v>
      </c>
      <c r="E64" s="41">
        <f>IF(D9=12,0,IF(D9=24,0,IF(D9=36,0,IF(D9&gt;36,C12))))</f>
        <v>10</v>
      </c>
      <c r="F64" s="41">
        <f t="shared" si="5"/>
        <v>312.68</v>
      </c>
      <c r="G64" s="35">
        <f t="shared" si="2"/>
        <v>0</v>
      </c>
      <c r="H64" s="33">
        <f t="shared" si="6"/>
        <v>-799.2750000000026</v>
      </c>
      <c r="I64" s="34"/>
      <c r="J64" s="34">
        <f t="shared" si="3"/>
        <v>0</v>
      </c>
      <c r="K64" s="36"/>
      <c r="L64" s="41">
        <f t="shared" si="7"/>
        <v>59.4092</v>
      </c>
      <c r="M64" s="87">
        <f t="shared" si="12"/>
        <v>372.0892</v>
      </c>
      <c r="N64" s="18" t="e">
        <f>M64+#REF!</f>
        <v>#REF!</v>
      </c>
      <c r="O64" s="100"/>
      <c r="P64" s="100"/>
      <c r="Q64" s="100"/>
      <c r="R64" s="100"/>
      <c r="S64" s="100"/>
      <c r="T64" s="100"/>
    </row>
    <row r="65" spans="1:20" ht="13.5">
      <c r="A65" s="86">
        <v>47</v>
      </c>
      <c r="B65" s="33">
        <f t="shared" si="0"/>
        <v>-799.2750000000026</v>
      </c>
      <c r="C65" s="45">
        <f t="shared" si="11"/>
        <v>3.26</v>
      </c>
      <c r="D65" s="41">
        <f>IF(A65=$D$9,$D$4-SUM($D$18:D64)-$D$7,F65-C65-E65)</f>
        <v>299.42</v>
      </c>
      <c r="E65" s="41">
        <f>IF(D9=12,0,IF(D9=24,0,IF(D9=36,0,IF(D9&gt;36,C12))))</f>
        <v>10</v>
      </c>
      <c r="F65" s="41">
        <f t="shared" si="5"/>
        <v>312.68</v>
      </c>
      <c r="G65" s="35">
        <f t="shared" si="2"/>
        <v>0</v>
      </c>
      <c r="H65" s="33">
        <f t="shared" si="6"/>
        <v>-499.8550000000026</v>
      </c>
      <c r="I65" s="34"/>
      <c r="J65" s="34">
        <f t="shared" si="3"/>
        <v>0</v>
      </c>
      <c r="K65" s="36"/>
      <c r="L65" s="41">
        <f t="shared" si="7"/>
        <v>59.4092</v>
      </c>
      <c r="M65" s="87">
        <f t="shared" si="12"/>
        <v>372.0892</v>
      </c>
      <c r="N65" s="18" t="e">
        <f>M65+#REF!</f>
        <v>#REF!</v>
      </c>
      <c r="O65" s="100"/>
      <c r="P65" s="100"/>
      <c r="Q65" s="100"/>
      <c r="R65" s="100"/>
      <c r="S65" s="100"/>
      <c r="T65" s="100"/>
    </row>
    <row r="66" spans="1:20" ht="13.5">
      <c r="A66" s="86">
        <v>48</v>
      </c>
      <c r="B66" s="33">
        <f>H65</f>
        <v>-499.8550000000026</v>
      </c>
      <c r="C66" s="45">
        <f t="shared" si="11"/>
        <v>2.04</v>
      </c>
      <c r="D66" s="41">
        <f>IF(A66=$D$9,$D$4-SUM($D$18:D65)-$D$7,F66-C66-E66)</f>
        <v>300.85499999999956</v>
      </c>
      <c r="E66" s="41">
        <f>IF(D9=12,0,IF(D9=24,0,IF(D9=36,0,IF(D9&gt;36,C12))))</f>
        <v>10</v>
      </c>
      <c r="F66" s="41">
        <f t="shared" si="5"/>
        <v>312.68</v>
      </c>
      <c r="G66" s="35">
        <f t="shared" si="2"/>
        <v>199</v>
      </c>
      <c r="H66" s="30">
        <f t="shared" si="6"/>
        <v>-3.0127011996228248E-12</v>
      </c>
      <c r="I66" s="34"/>
      <c r="J66" s="34">
        <f t="shared" si="3"/>
        <v>0</v>
      </c>
      <c r="K66" s="36"/>
      <c r="L66" s="41">
        <f t="shared" si="7"/>
        <v>59.4092</v>
      </c>
      <c r="M66" s="87">
        <f>M65</f>
        <v>372.0892</v>
      </c>
      <c r="N66" s="18" t="e">
        <f>M66+#REF!</f>
        <v>#REF!</v>
      </c>
      <c r="O66" s="100"/>
      <c r="P66" s="100"/>
      <c r="Q66" s="100"/>
      <c r="R66" s="100"/>
      <c r="S66" s="100"/>
      <c r="T66" s="100"/>
    </row>
    <row r="67" spans="1:20" ht="13.5">
      <c r="A67" s="88">
        <v>49</v>
      </c>
      <c r="B67" s="33">
        <f aca="true" t="shared" si="13" ref="B67:B78">H66</f>
        <v>-3.0127011996228248E-12</v>
      </c>
      <c r="C67" s="45">
        <f t="shared" si="11"/>
        <v>0</v>
      </c>
      <c r="D67" s="41">
        <f>IF(A67=$D$9,$D$4-SUM($D$18:D66)-$D$7,F67-C67-E67)</f>
        <v>0</v>
      </c>
      <c r="E67" s="41">
        <f>IF(D9=12,0,IF(D9=24,0,IF(D9=36,0,IF(D9=48,0,IF(D9&gt;48,C12)))))</f>
        <v>0</v>
      </c>
      <c r="F67" s="41">
        <f t="shared" si="5"/>
        <v>0</v>
      </c>
      <c r="G67" s="35">
        <f t="shared" si="2"/>
        <v>0</v>
      </c>
      <c r="H67" s="30">
        <f t="shared" si="6"/>
        <v>-3.0127011996228248E-12</v>
      </c>
      <c r="I67" s="34"/>
      <c r="J67" s="34">
        <f t="shared" si="3"/>
        <v>0</v>
      </c>
      <c r="K67" s="36"/>
      <c r="L67" s="41">
        <f t="shared" si="7"/>
        <v>0</v>
      </c>
      <c r="M67" s="87">
        <f aca="true" t="shared" si="14" ref="M67:M77">F67+L67+J67</f>
        <v>0</v>
      </c>
      <c r="N67" s="18" t="e">
        <f>M67+#REF!</f>
        <v>#REF!</v>
      </c>
      <c r="O67" s="100"/>
      <c r="P67" s="100"/>
      <c r="Q67" s="100"/>
      <c r="R67" s="100"/>
      <c r="S67" s="100"/>
      <c r="T67" s="100"/>
    </row>
    <row r="68" spans="1:20" ht="13.5">
      <c r="A68" s="88">
        <v>50</v>
      </c>
      <c r="B68" s="33">
        <f>H67</f>
        <v>-3.0127011996228248E-12</v>
      </c>
      <c r="C68" s="46">
        <f t="shared" si="11"/>
        <v>0</v>
      </c>
      <c r="D68" s="41">
        <f>IF(A68=$D$9,$D$4-SUM($D$18:D67)-$D$7,F68-C68-E68)</f>
        <v>0</v>
      </c>
      <c r="E68" s="41">
        <f>IF(D9=12,0,IF(D9=24,0,IF(D9=36,0,IF(D9=48,0,IF(D9&gt;48,C12)))))</f>
        <v>0</v>
      </c>
      <c r="F68" s="41">
        <f t="shared" si="5"/>
        <v>0</v>
      </c>
      <c r="G68" s="35">
        <f t="shared" si="2"/>
        <v>0</v>
      </c>
      <c r="H68" s="30">
        <f t="shared" si="6"/>
        <v>-3.0127011996228248E-12</v>
      </c>
      <c r="I68" s="34"/>
      <c r="J68" s="34">
        <f t="shared" si="3"/>
        <v>0</v>
      </c>
      <c r="K68" s="36"/>
      <c r="L68" s="41">
        <f t="shared" si="7"/>
        <v>0</v>
      </c>
      <c r="M68" s="87">
        <f t="shared" si="14"/>
        <v>0</v>
      </c>
      <c r="N68" s="18" t="e">
        <f>M68+#REF!</f>
        <v>#REF!</v>
      </c>
      <c r="O68" s="100"/>
      <c r="P68" s="100"/>
      <c r="Q68" s="100"/>
      <c r="R68" s="100"/>
      <c r="S68" s="100"/>
      <c r="T68" s="100"/>
    </row>
    <row r="69" spans="1:20" ht="13.5">
      <c r="A69" s="88">
        <v>51</v>
      </c>
      <c r="B69" s="33">
        <f t="shared" si="13"/>
        <v>-3.0127011996228248E-12</v>
      </c>
      <c r="C69" s="46">
        <f t="shared" si="11"/>
        <v>0</v>
      </c>
      <c r="D69" s="41">
        <f>IF(A69=$D$9,$D$4-SUM($D$18:D68)-$D$7,F69-C69-E69)</f>
        <v>0</v>
      </c>
      <c r="E69" s="41">
        <f>IF(D9=12,0,IF(D9=24,0,IF(D9=36,0,IF(D9=48,0,IF(D9&gt;48,C12)))))</f>
        <v>0</v>
      </c>
      <c r="F69" s="41">
        <f t="shared" si="5"/>
        <v>0</v>
      </c>
      <c r="G69" s="35">
        <f t="shared" si="2"/>
        <v>0</v>
      </c>
      <c r="H69" s="30">
        <f t="shared" si="6"/>
        <v>-3.0127011996228248E-12</v>
      </c>
      <c r="I69" s="34"/>
      <c r="J69" s="34">
        <f t="shared" si="3"/>
        <v>0</v>
      </c>
      <c r="K69" s="36"/>
      <c r="L69" s="41">
        <f t="shared" si="7"/>
        <v>0</v>
      </c>
      <c r="M69" s="87">
        <f t="shared" si="14"/>
        <v>0</v>
      </c>
      <c r="N69" s="18" t="e">
        <f>M69+#REF!</f>
        <v>#REF!</v>
      </c>
      <c r="O69" s="100"/>
      <c r="P69" s="100"/>
      <c r="Q69" s="100"/>
      <c r="R69" s="100"/>
      <c r="S69" s="100"/>
      <c r="T69" s="100"/>
    </row>
    <row r="70" spans="1:20" ht="13.5">
      <c r="A70" s="88">
        <v>52</v>
      </c>
      <c r="B70" s="33">
        <f t="shared" si="13"/>
        <v>-3.0127011996228248E-12</v>
      </c>
      <c r="C70" s="46">
        <f t="shared" si="11"/>
        <v>0</v>
      </c>
      <c r="D70" s="41">
        <f>IF(A70=$D$9,$D$4-SUM($D$18:D69)-$D$7,F70-C70-E70)</f>
        <v>0</v>
      </c>
      <c r="E70" s="41">
        <f>IF(D9=12,0,IF(D9=24,0,IF(D9=36,0,IF(D9=48,0,IF(D9&gt;48,C12)))))</f>
        <v>0</v>
      </c>
      <c r="F70" s="41">
        <f t="shared" si="5"/>
        <v>0</v>
      </c>
      <c r="G70" s="35">
        <f t="shared" si="2"/>
        <v>0</v>
      </c>
      <c r="H70" s="30">
        <f t="shared" si="6"/>
        <v>-3.0127011996228248E-12</v>
      </c>
      <c r="I70" s="34"/>
      <c r="J70" s="34">
        <f t="shared" si="3"/>
        <v>0</v>
      </c>
      <c r="K70" s="36"/>
      <c r="L70" s="41">
        <f t="shared" si="7"/>
        <v>0</v>
      </c>
      <c r="M70" s="87">
        <f t="shared" si="14"/>
        <v>0</v>
      </c>
      <c r="N70" s="18" t="e">
        <f>M70+#REF!</f>
        <v>#REF!</v>
      </c>
      <c r="O70" s="100"/>
      <c r="P70" s="100"/>
      <c r="Q70" s="100"/>
      <c r="R70" s="100"/>
      <c r="S70" s="100"/>
      <c r="T70" s="100"/>
    </row>
    <row r="71" spans="1:20" ht="13.5">
      <c r="A71" s="88">
        <v>53</v>
      </c>
      <c r="B71" s="33">
        <f t="shared" si="13"/>
        <v>-3.0127011996228248E-12</v>
      </c>
      <c r="C71" s="46">
        <f t="shared" si="11"/>
        <v>0</v>
      </c>
      <c r="D71" s="41">
        <f>IF(A71=$D$9,$D$4-SUM($D$18:D70)-$D$7,F71-C71-E71)</f>
        <v>0</v>
      </c>
      <c r="E71" s="41">
        <f>IF(D9=12,0,IF(D9=24,0,IF(D9=36,0,IF(D9=48,0,IF(D9&gt;48,C12)))))</f>
        <v>0</v>
      </c>
      <c r="F71" s="41">
        <f t="shared" si="5"/>
        <v>0</v>
      </c>
      <c r="G71" s="35">
        <f t="shared" si="2"/>
        <v>0</v>
      </c>
      <c r="H71" s="30">
        <f t="shared" si="6"/>
        <v>-3.0127011996228248E-12</v>
      </c>
      <c r="I71" s="34"/>
      <c r="J71" s="34">
        <f t="shared" si="3"/>
        <v>0</v>
      </c>
      <c r="K71" s="36"/>
      <c r="L71" s="41">
        <f t="shared" si="7"/>
        <v>0</v>
      </c>
      <c r="M71" s="87">
        <f t="shared" si="14"/>
        <v>0</v>
      </c>
      <c r="N71" s="18" t="e">
        <f>M71+#REF!</f>
        <v>#REF!</v>
      </c>
      <c r="O71" s="100"/>
      <c r="P71" s="100"/>
      <c r="Q71" s="100"/>
      <c r="R71" s="100"/>
      <c r="S71" s="100"/>
      <c r="T71" s="100"/>
    </row>
    <row r="72" spans="1:20" ht="13.5">
      <c r="A72" s="88">
        <v>54</v>
      </c>
      <c r="B72" s="33">
        <f t="shared" si="13"/>
        <v>-3.0127011996228248E-12</v>
      </c>
      <c r="C72" s="46">
        <f t="shared" si="11"/>
        <v>0</v>
      </c>
      <c r="D72" s="41">
        <f>IF(A72=$D$9,$D$4-SUM($D$18:D71)-$D$7,F72-C72-E72)</f>
        <v>0</v>
      </c>
      <c r="E72" s="41">
        <f>IF(D9=12,0,IF(D9=24,0,IF(D9=36,0,IF(D9=48,0,IF(D9&gt;48,C12)))))</f>
        <v>0</v>
      </c>
      <c r="F72" s="41">
        <f t="shared" si="5"/>
        <v>0</v>
      </c>
      <c r="G72" s="35">
        <f t="shared" si="2"/>
        <v>0</v>
      </c>
      <c r="H72" s="30">
        <f t="shared" si="6"/>
        <v>-3.0127011996228248E-12</v>
      </c>
      <c r="I72" s="34"/>
      <c r="J72" s="34">
        <f t="shared" si="3"/>
        <v>0</v>
      </c>
      <c r="K72" s="36"/>
      <c r="L72" s="41">
        <f t="shared" si="7"/>
        <v>0</v>
      </c>
      <c r="M72" s="87">
        <f t="shared" si="14"/>
        <v>0</v>
      </c>
      <c r="N72" s="18" t="e">
        <f>M72+#REF!</f>
        <v>#REF!</v>
      </c>
      <c r="O72" s="100"/>
      <c r="P72" s="100"/>
      <c r="Q72" s="100"/>
      <c r="R72" s="100"/>
      <c r="S72" s="100"/>
      <c r="T72" s="100"/>
    </row>
    <row r="73" spans="1:20" ht="13.5">
      <c r="A73" s="88">
        <v>55</v>
      </c>
      <c r="B73" s="33">
        <f t="shared" si="13"/>
        <v>-3.0127011996228248E-12</v>
      </c>
      <c r="C73" s="46">
        <f t="shared" si="11"/>
        <v>0</v>
      </c>
      <c r="D73" s="41">
        <f>IF(A73=$D$9,$D$4-SUM($D$18:D72)-$D$7,F73-C73-E73)</f>
        <v>0</v>
      </c>
      <c r="E73" s="41">
        <f>IF(D9=12,0,IF(D9=24,0,IF(D9=36,0,IF(D9=48,0,IF(D9&gt;48,C12)))))</f>
        <v>0</v>
      </c>
      <c r="F73" s="41">
        <f t="shared" si="5"/>
        <v>0</v>
      </c>
      <c r="G73" s="35">
        <f t="shared" si="2"/>
        <v>0</v>
      </c>
      <c r="H73" s="30">
        <f t="shared" si="6"/>
        <v>-3.0127011996228248E-12</v>
      </c>
      <c r="I73" s="34"/>
      <c r="J73" s="34">
        <f t="shared" si="3"/>
        <v>0</v>
      </c>
      <c r="K73" s="36"/>
      <c r="L73" s="41">
        <f t="shared" si="7"/>
        <v>0</v>
      </c>
      <c r="M73" s="87">
        <f t="shared" si="14"/>
        <v>0</v>
      </c>
      <c r="N73" s="18" t="e">
        <f>M73+#REF!</f>
        <v>#REF!</v>
      </c>
      <c r="O73" s="100"/>
      <c r="P73" s="100"/>
      <c r="Q73" s="100"/>
      <c r="R73" s="100"/>
      <c r="S73" s="100"/>
      <c r="T73" s="100"/>
    </row>
    <row r="74" spans="1:20" ht="13.5">
      <c r="A74" s="88">
        <v>56</v>
      </c>
      <c r="B74" s="33">
        <f t="shared" si="13"/>
        <v>-3.0127011996228248E-12</v>
      </c>
      <c r="C74" s="46">
        <f t="shared" si="11"/>
        <v>0</v>
      </c>
      <c r="D74" s="41">
        <f>IF(A74=$D$9,$D$4-SUM($D$18:D73)-$D$7,F74-C74-E74)</f>
        <v>0</v>
      </c>
      <c r="E74" s="41">
        <f>IF(D9=12,0,IF(D9=24,0,IF(D9=36,0,IF(D9=48,0,IF(D9&gt;48,C12)))))</f>
        <v>0</v>
      </c>
      <c r="F74" s="41">
        <f t="shared" si="5"/>
        <v>0</v>
      </c>
      <c r="G74" s="35">
        <f t="shared" si="2"/>
        <v>0</v>
      </c>
      <c r="H74" s="30">
        <f t="shared" si="6"/>
        <v>-3.0127011996228248E-12</v>
      </c>
      <c r="I74" s="34"/>
      <c r="J74" s="34">
        <f t="shared" si="3"/>
        <v>0</v>
      </c>
      <c r="K74" s="36"/>
      <c r="L74" s="41">
        <f t="shared" si="7"/>
        <v>0</v>
      </c>
      <c r="M74" s="87">
        <f t="shared" si="14"/>
        <v>0</v>
      </c>
      <c r="N74" s="18" t="e">
        <f>M74+#REF!</f>
        <v>#REF!</v>
      </c>
      <c r="O74" s="100"/>
      <c r="P74" s="100"/>
      <c r="Q74" s="100"/>
      <c r="R74" s="100"/>
      <c r="S74" s="100"/>
      <c r="T74" s="100"/>
    </row>
    <row r="75" spans="1:20" ht="13.5">
      <c r="A75" s="88">
        <v>57</v>
      </c>
      <c r="B75" s="33">
        <f t="shared" si="13"/>
        <v>-3.0127011996228248E-12</v>
      </c>
      <c r="C75" s="46">
        <f t="shared" si="11"/>
        <v>0</v>
      </c>
      <c r="D75" s="41">
        <f>IF(A75=$D$9,$D$4-SUM($D$18:D74)-$D$7,F75-C75-E75)</f>
        <v>0</v>
      </c>
      <c r="E75" s="41">
        <f>IF(D9=12,0,IF(D9=24,0,IF(D9=36,0,IF(D9=48,0,IF(D9&gt;48,C12)))))</f>
        <v>0</v>
      </c>
      <c r="F75" s="41">
        <f t="shared" si="5"/>
        <v>0</v>
      </c>
      <c r="G75" s="35">
        <f t="shared" si="2"/>
        <v>0</v>
      </c>
      <c r="H75" s="30">
        <f t="shared" si="6"/>
        <v>-3.0127011996228248E-12</v>
      </c>
      <c r="I75" s="34"/>
      <c r="J75" s="34">
        <f t="shared" si="3"/>
        <v>0</v>
      </c>
      <c r="K75" s="36"/>
      <c r="L75" s="41">
        <f t="shared" si="7"/>
        <v>0</v>
      </c>
      <c r="M75" s="87">
        <f t="shared" si="14"/>
        <v>0</v>
      </c>
      <c r="N75" s="18" t="e">
        <f>M75+#REF!</f>
        <v>#REF!</v>
      </c>
      <c r="O75" s="100"/>
      <c r="P75" s="100"/>
      <c r="Q75" s="100"/>
      <c r="R75" s="100"/>
      <c r="S75" s="100"/>
      <c r="T75" s="100"/>
    </row>
    <row r="76" spans="1:20" ht="13.5">
      <c r="A76" s="88">
        <v>58</v>
      </c>
      <c r="B76" s="33">
        <f t="shared" si="13"/>
        <v>-3.0127011996228248E-12</v>
      </c>
      <c r="C76" s="46">
        <f t="shared" si="11"/>
        <v>0</v>
      </c>
      <c r="D76" s="41">
        <f>IF(A76=$D$9,$D$4-SUM($D$18:D75)-$D$7,F76-C76-E76)</f>
        <v>0</v>
      </c>
      <c r="E76" s="41">
        <f>IF(D9=12,0,IF(D9=24,0,IF(D9=36,0,IF(D9=48,0,IF(D9&gt;48,C12)))))</f>
        <v>0</v>
      </c>
      <c r="F76" s="41">
        <f t="shared" si="5"/>
        <v>0</v>
      </c>
      <c r="G76" s="35">
        <f t="shared" si="2"/>
        <v>0</v>
      </c>
      <c r="H76" s="30">
        <f t="shared" si="6"/>
        <v>-3.0127011996228248E-12</v>
      </c>
      <c r="I76" s="34"/>
      <c r="J76" s="34">
        <f t="shared" si="3"/>
        <v>0</v>
      </c>
      <c r="K76" s="36"/>
      <c r="L76" s="41">
        <f t="shared" si="7"/>
        <v>0</v>
      </c>
      <c r="M76" s="87">
        <f t="shared" si="14"/>
        <v>0</v>
      </c>
      <c r="N76" s="18" t="e">
        <f>M76+#REF!</f>
        <v>#REF!</v>
      </c>
      <c r="O76" s="100"/>
      <c r="P76" s="100"/>
      <c r="Q76" s="100"/>
      <c r="R76" s="100"/>
      <c r="S76" s="100"/>
      <c r="T76" s="100"/>
    </row>
    <row r="77" spans="1:20" ht="13.5">
      <c r="A77" s="88">
        <v>59</v>
      </c>
      <c r="B77" s="33">
        <f t="shared" si="13"/>
        <v>-3.0127011996228248E-12</v>
      </c>
      <c r="C77" s="46">
        <f t="shared" si="11"/>
        <v>0</v>
      </c>
      <c r="D77" s="41">
        <f>IF(A77=$D$9,$D$4-SUM($D$18:D76)-$D$7,F77-C77-E77)</f>
        <v>0</v>
      </c>
      <c r="E77" s="41">
        <f>IF(D9=12,0,IF(D9=24,0,IF(D9=36,0,IF(D9=48,0,IF(D9&gt;48,C12)))))</f>
        <v>0</v>
      </c>
      <c r="F77" s="41">
        <f t="shared" si="5"/>
        <v>0</v>
      </c>
      <c r="G77" s="35">
        <f t="shared" si="2"/>
        <v>0</v>
      </c>
      <c r="H77" s="30">
        <f t="shared" si="6"/>
        <v>-3.0127011996228248E-12</v>
      </c>
      <c r="I77" s="34"/>
      <c r="J77" s="34">
        <f t="shared" si="3"/>
        <v>0</v>
      </c>
      <c r="K77" s="36"/>
      <c r="L77" s="41">
        <f t="shared" si="7"/>
        <v>0</v>
      </c>
      <c r="M77" s="87">
        <f t="shared" si="14"/>
        <v>0</v>
      </c>
      <c r="N77" s="18" t="e">
        <f>M77+#REF!</f>
        <v>#REF!</v>
      </c>
      <c r="O77" s="100"/>
      <c r="P77" s="100"/>
      <c r="Q77" s="100"/>
      <c r="R77" s="100"/>
      <c r="S77" s="100"/>
      <c r="T77" s="100"/>
    </row>
    <row r="78" spans="1:20" ht="13.5">
      <c r="A78" s="88">
        <v>60</v>
      </c>
      <c r="B78" s="33">
        <f t="shared" si="13"/>
        <v>-3.0127011996228248E-12</v>
      </c>
      <c r="C78" s="46">
        <f t="shared" si="11"/>
        <v>0</v>
      </c>
      <c r="D78" s="41">
        <f>IF(A78=$D$9,$D$4-SUM($D$18:D77)-$D$7,F78-C78-E78)</f>
        <v>0</v>
      </c>
      <c r="E78" s="41">
        <f>IF(D9=12,0,IF(D9=24,0,IF(D9=36,0,IF(D9=48,0,IF(D9&gt;48,C12)))))</f>
        <v>0</v>
      </c>
      <c r="F78" s="41">
        <f t="shared" si="5"/>
        <v>0</v>
      </c>
      <c r="G78" s="35">
        <f t="shared" si="2"/>
        <v>0</v>
      </c>
      <c r="H78" s="34">
        <f t="shared" si="6"/>
        <v>-3.0127011996228248E-12</v>
      </c>
      <c r="I78" s="34"/>
      <c r="J78" s="34">
        <f t="shared" si="3"/>
        <v>0</v>
      </c>
      <c r="K78" s="36"/>
      <c r="L78" s="41">
        <f>(C78+D78+G78)*19%</f>
        <v>0</v>
      </c>
      <c r="M78" s="87">
        <f>M77</f>
        <v>0</v>
      </c>
      <c r="N78" s="18" t="e">
        <f>M78+#REF!</f>
        <v>#REF!</v>
      </c>
      <c r="O78" s="100"/>
      <c r="P78" s="100"/>
      <c r="Q78" s="100"/>
      <c r="R78" s="100"/>
      <c r="S78" s="100"/>
      <c r="T78" s="100"/>
    </row>
    <row r="79" spans="1:20" ht="15" thickBot="1">
      <c r="A79" s="119" t="s">
        <v>16</v>
      </c>
      <c r="B79" s="120"/>
      <c r="C79" s="121"/>
      <c r="D79" s="41">
        <f>IF(A79=$D$9,$D$4-SUM($D$18:D78)-$D$7,F79-C79)</f>
        <v>0</v>
      </c>
      <c r="E79" s="122"/>
      <c r="F79" s="123"/>
      <c r="G79" s="124"/>
      <c r="H79" s="125"/>
      <c r="I79" s="125"/>
      <c r="J79" s="125"/>
      <c r="K79" s="125"/>
      <c r="L79" s="126"/>
      <c r="M79" s="127">
        <f>D7*1.19</f>
        <v>236.81</v>
      </c>
      <c r="N79" s="19"/>
      <c r="O79" s="100"/>
      <c r="P79" s="100"/>
      <c r="Q79" s="100"/>
      <c r="R79" s="100"/>
      <c r="S79" s="100"/>
      <c r="T79" s="100"/>
    </row>
    <row r="80" spans="1:20" ht="15" thickBot="1">
      <c r="A80" s="89" t="s">
        <v>17</v>
      </c>
      <c r="B80" s="37"/>
      <c r="C80" s="43">
        <f>SUM(C18:C78)</f>
        <v>1394.855</v>
      </c>
      <c r="D80" s="41">
        <f>IF(A80=$D$9,$D$4-SUM($D$18:D79)-$D$7,F80-C80)</f>
        <v>13613.785000000009</v>
      </c>
      <c r="E80" s="43"/>
      <c r="F80" s="43">
        <f>SUM(F18:F78)</f>
        <v>15008.640000000009</v>
      </c>
      <c r="G80" s="38">
        <f>SUM(G92:G125)</f>
        <v>0</v>
      </c>
      <c r="H80" s="38"/>
      <c r="I80" s="38"/>
      <c r="J80" s="38">
        <f>SUM(J19:J66)</f>
        <v>0</v>
      </c>
      <c r="K80" s="39"/>
      <c r="L80" s="42">
        <f>(C80+D80+G80)*19%</f>
        <v>2851.6416000000017</v>
      </c>
      <c r="M80" s="90">
        <f>SUM(M18:M79)</f>
        <v>26741.846599999968</v>
      </c>
      <c r="N80" s="24" t="e">
        <f>M80+#REF!</f>
        <v>#REF!</v>
      </c>
      <c r="O80" s="100"/>
      <c r="P80" s="105"/>
      <c r="Q80" s="105"/>
      <c r="R80" s="100"/>
      <c r="S80" s="100"/>
      <c r="T80" s="100"/>
    </row>
    <row r="81" spans="1:20" ht="18.75" customHeight="1">
      <c r="A81" s="91" t="s">
        <v>32</v>
      </c>
      <c r="B81" s="5"/>
      <c r="C81" s="6"/>
      <c r="D81" s="6"/>
      <c r="E81" s="6"/>
      <c r="F81" s="15"/>
      <c r="G81" s="6"/>
      <c r="H81" s="6"/>
      <c r="I81" s="6"/>
      <c r="J81" s="6"/>
      <c r="K81" s="7"/>
      <c r="L81" s="6"/>
      <c r="M81" s="92"/>
      <c r="O81" s="100"/>
      <c r="P81" s="100"/>
      <c r="Q81" s="100"/>
      <c r="R81" s="100"/>
      <c r="S81" s="100"/>
      <c r="T81" s="100"/>
    </row>
    <row r="82" spans="1:20" ht="29.25" customHeight="1">
      <c r="A82" s="129" t="s">
        <v>18</v>
      </c>
      <c r="B82" s="5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31"/>
      <c r="O82" s="100"/>
      <c r="P82" s="100"/>
      <c r="Q82" s="100"/>
      <c r="R82" s="100"/>
      <c r="S82" s="100"/>
      <c r="T82" s="100"/>
    </row>
    <row r="83" spans="1:20" ht="17.25" customHeight="1">
      <c r="A83" s="91" t="s">
        <v>28</v>
      </c>
      <c r="B83" s="5"/>
      <c r="C83" s="6"/>
      <c r="D83" s="6"/>
      <c r="E83" s="6"/>
      <c r="F83" s="6"/>
      <c r="G83" s="6"/>
      <c r="H83" s="6"/>
      <c r="I83" s="6"/>
      <c r="J83" s="6"/>
      <c r="K83" s="7"/>
      <c r="L83" s="6"/>
      <c r="M83" s="131"/>
      <c r="O83" s="100"/>
      <c r="P83" s="100"/>
      <c r="Q83" s="100"/>
      <c r="R83" s="100"/>
      <c r="S83" s="100"/>
      <c r="T83" s="100"/>
    </row>
    <row r="84" spans="1:20" ht="18" customHeight="1" thickBot="1">
      <c r="A84" s="93" t="s">
        <v>29</v>
      </c>
      <c r="B84" s="94"/>
      <c r="C84" s="95"/>
      <c r="D84" s="96"/>
      <c r="E84" s="97"/>
      <c r="F84" s="98"/>
      <c r="G84" s="98"/>
      <c r="H84" s="98"/>
      <c r="I84" s="98"/>
      <c r="J84" s="98"/>
      <c r="K84" s="99"/>
      <c r="L84" s="98"/>
      <c r="M84" s="132"/>
      <c r="O84" s="100"/>
      <c r="P84" s="100"/>
      <c r="Q84" s="100"/>
      <c r="R84" s="100"/>
      <c r="S84" s="100"/>
      <c r="T84" s="100"/>
    </row>
    <row r="85" spans="1:20" ht="15" customHeight="1">
      <c r="A85" s="106"/>
      <c r="B85" s="107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</row>
    <row r="86" spans="1:20" ht="13.5">
      <c r="A86" s="106"/>
      <c r="B86" s="107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</row>
    <row r="87" spans="1:20" ht="13.5">
      <c r="A87" s="106"/>
      <c r="B87" s="107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</row>
    <row r="88" spans="1:20" ht="13.5">
      <c r="A88" s="106"/>
      <c r="B88" s="107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</row>
    <row r="89" spans="1:20" ht="13.5">
      <c r="A89" s="106"/>
      <c r="B89" s="107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</row>
    <row r="90" spans="1:20" ht="13.5">
      <c r="A90" s="106"/>
      <c r="B90" s="107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</row>
    <row r="91" spans="1:20" ht="13.5">
      <c r="A91" s="106"/>
      <c r="B91" s="107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</row>
    <row r="92" spans="1:20" ht="13.5">
      <c r="A92" s="100"/>
      <c r="B92" s="100"/>
      <c r="C92" s="101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7"/>
      <c r="O92" s="100"/>
      <c r="P92" s="100"/>
      <c r="Q92" s="100"/>
      <c r="R92" s="100"/>
      <c r="S92" s="100"/>
      <c r="T92" s="100"/>
    </row>
    <row r="93" spans="1:20" ht="13.5">
      <c r="A93" s="100"/>
      <c r="B93" s="100"/>
      <c r="C93" s="101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7"/>
      <c r="O93" s="100"/>
      <c r="P93" s="100"/>
      <c r="Q93" s="100"/>
      <c r="R93" s="100"/>
      <c r="S93" s="100"/>
      <c r="T93" s="100"/>
    </row>
    <row r="94" spans="1:20" ht="13.5">
      <c r="A94" s="100"/>
      <c r="B94" s="100"/>
      <c r="C94" s="101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7"/>
      <c r="O94" s="100"/>
      <c r="P94" s="100"/>
      <c r="Q94" s="100"/>
      <c r="R94" s="100"/>
      <c r="S94" s="100"/>
      <c r="T94" s="100"/>
    </row>
    <row r="95" spans="1:20" ht="13.5">
      <c r="A95" s="100"/>
      <c r="B95" s="100"/>
      <c r="C95" s="101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7"/>
      <c r="O95" s="100"/>
      <c r="P95" s="100"/>
      <c r="Q95" s="100"/>
      <c r="R95" s="100"/>
      <c r="S95" s="100"/>
      <c r="T95" s="100"/>
    </row>
    <row r="96" spans="1:20" ht="13.5">
      <c r="A96" s="100"/>
      <c r="B96" s="100"/>
      <c r="C96" s="101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7"/>
      <c r="O96" s="100"/>
      <c r="P96" s="100"/>
      <c r="Q96" s="100"/>
      <c r="R96" s="100"/>
      <c r="S96" s="100"/>
      <c r="T96" s="100"/>
    </row>
    <row r="97" spans="1:20" ht="13.5">
      <c r="A97" s="100"/>
      <c r="B97" s="100"/>
      <c r="C97" s="101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7"/>
      <c r="O97" s="100"/>
      <c r="P97" s="100"/>
      <c r="Q97" s="100"/>
      <c r="R97" s="100"/>
      <c r="S97" s="100"/>
      <c r="T97" s="100"/>
    </row>
    <row r="98" spans="1:20" ht="13.5">
      <c r="A98" s="100"/>
      <c r="B98" s="100"/>
      <c r="C98" s="101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7"/>
      <c r="O98" s="100"/>
      <c r="P98" s="100"/>
      <c r="Q98" s="100"/>
      <c r="R98" s="100"/>
      <c r="S98" s="100"/>
      <c r="T98" s="100"/>
    </row>
    <row r="99" spans="1:20" ht="13.5">
      <c r="A99" s="100"/>
      <c r="B99" s="100"/>
      <c r="C99" s="101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7"/>
      <c r="O99" s="100"/>
      <c r="P99" s="100"/>
      <c r="Q99" s="100"/>
      <c r="R99" s="100"/>
      <c r="S99" s="100"/>
      <c r="T99" s="100"/>
    </row>
    <row r="100" spans="1:20" ht="13.5">
      <c r="A100" s="100"/>
      <c r="B100" s="100"/>
      <c r="C100" s="101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7"/>
      <c r="O100" s="100"/>
      <c r="P100" s="100"/>
      <c r="Q100" s="100"/>
      <c r="R100" s="100"/>
      <c r="S100" s="100"/>
      <c r="T100" s="100"/>
    </row>
    <row r="101" spans="1:20" ht="13.5">
      <c r="A101" s="100"/>
      <c r="B101" s="100"/>
      <c r="C101" s="101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7"/>
      <c r="O101" s="100"/>
      <c r="P101" s="100"/>
      <c r="Q101" s="100"/>
      <c r="R101" s="100"/>
      <c r="S101" s="100"/>
      <c r="T101" s="100"/>
    </row>
    <row r="102" spans="1:20" ht="13.5">
      <c r="A102" s="100"/>
      <c r="B102" s="100"/>
      <c r="C102" s="101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7"/>
      <c r="O102" s="100"/>
      <c r="P102" s="100"/>
      <c r="Q102" s="100"/>
      <c r="R102" s="100"/>
      <c r="S102" s="100"/>
      <c r="T102" s="100"/>
    </row>
    <row r="103" spans="1:20" ht="13.5">
      <c r="A103" s="100"/>
      <c r="B103" s="100"/>
      <c r="C103" s="101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7"/>
      <c r="O103" s="100"/>
      <c r="P103" s="100"/>
      <c r="Q103" s="100"/>
      <c r="R103" s="100"/>
      <c r="S103" s="100"/>
      <c r="T103" s="100"/>
    </row>
  </sheetData>
  <sheetProtection/>
  <mergeCells count="3">
    <mergeCell ref="H1:M1"/>
    <mergeCell ref="C82:L82"/>
    <mergeCell ref="J14:M14"/>
  </mergeCells>
  <conditionalFormatting sqref="L80 B18:C78 D18:D80 E18:M78">
    <cfRule type="cellIs" priority="2" dxfId="2" operator="between" stopIfTrue="1">
      <formula>-0.01</formula>
      <formula>0.01</formula>
    </cfRule>
  </conditionalFormatting>
  <conditionalFormatting sqref="A19:A78">
    <cfRule type="cellIs" priority="1" dxfId="2" operator="greaterThan" stopIfTrue="1">
      <formula>'SCADENTAR LEASING'!$D$9</formula>
    </cfRule>
  </conditionalFormatting>
  <printOptions/>
  <pageMargins left="0.75" right="0.75" top="1" bottom="1" header="0.3" footer="0.3"/>
  <pageSetup fitToHeight="2" fitToWidth="1" horizontalDpi="600" verticalDpi="600" orientation="portrait" paperSize="9" scale="8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IMPULS LEASING ROMANIA IFN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Radu.Marin</dc:creator>
  <cp:keywords/>
  <dc:description/>
  <cp:lastModifiedBy>Microsoft Office User</cp:lastModifiedBy>
  <cp:lastPrinted>2017-01-12T09:52:44Z</cp:lastPrinted>
  <dcterms:created xsi:type="dcterms:W3CDTF">2007-04-17T08:35:49Z</dcterms:created>
  <dcterms:modified xsi:type="dcterms:W3CDTF">2019-08-26T08:20:47Z</dcterms:modified>
  <cp:category/>
  <cp:version/>
  <cp:contentType/>
  <cp:contentStatus/>
</cp:coreProperties>
</file>